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16" windowWidth="12432" windowHeight="8028" activeTab="3"/>
  </bookViews>
  <sheets>
    <sheet name="2.5 GPM (Obsolete)" sheetId="2" r:id="rId1"/>
    <sheet name="RET therm saving" sheetId="1" r:id="rId2"/>
    <sheet name="NEW ROB 2.0 GPM BL Therm Saving" sheetId="6" r:id="rId3"/>
    <sheet name="1.8 GPM BL Therm Saving" sheetId="7" r:id="rId4"/>
    <sheet name="SF Weather Data" sheetId="3" r:id="rId5"/>
    <sheet name="MF Weather Data" sheetId="4" r:id="rId6"/>
    <sheet name="Mixed Daily Water Calculator" sheetId="8" r:id="rId7"/>
  </sheets>
  <externalReferences>
    <externalReference r:id="rId8"/>
    <externalReference r:id="rId9"/>
  </externalReferences>
  <definedNames>
    <definedName name="_AMO_UniqueIdentifier" localSheetId="6" hidden="1">"'5583824b-8023-4340-9f5a-2a0dc512f9e9'"</definedName>
    <definedName name="_AMO_UniqueIdentifier" hidden="1">"'ccf04171-7489-418b-a845-c33f6d8a1902'"</definedName>
    <definedName name="C_daysyr">#REF!</definedName>
    <definedName name="C_kWh">#REF!</definedName>
    <definedName name="C_therm">#REF!</definedName>
    <definedName name="C_volume">#REF!</definedName>
    <definedName name="C_WkW">#REF!</definedName>
    <definedName name="Cp">#REF!</definedName>
    <definedName name="density">#REF!</definedName>
    <definedName name="DMoIOU" localSheetId="6">[1]ED_Gas_Fraction!$C$16:$H$19</definedName>
    <definedName name="DMoIOU">[2]ED_Gas_Fraction!$C$16:$H$19</definedName>
    <definedName name="EFbase">#REF!</definedName>
    <definedName name="EFelec_base">#REF!</definedName>
    <definedName name="EFgas_base">#REF!</definedName>
    <definedName name="ELEC" localSheetId="6">[1]ED_elec_Savings!$A$5:$F$14</definedName>
    <definedName name="ELEC">[2]ED_elec_Savings!$A$5:$F$14</definedName>
    <definedName name="ELECDMoIOU" localSheetId="6">[1]ED_Elec_Fraction!$C$16:$H$19</definedName>
    <definedName name="ELECDMoIOU">[2]ED_Elec_Fraction!$C$16:$H$19</definedName>
    <definedName name="ELECMFIOU" localSheetId="6">[1]ED_Elec_Fraction!$C$11:$H$14</definedName>
    <definedName name="ELECMFIOU">[2]ED_Elec_Fraction!$C$11:$H$14</definedName>
    <definedName name="ELECSFIOU" localSheetId="6">[1]ED_Elec_Fraction!$C$6:$H$9</definedName>
    <definedName name="ELECSFIOU">[2]ED_Elec_Fraction!$C$6:$H$9</definedName>
    <definedName name="Fthrott">#REF!</definedName>
    <definedName name="GAS" localSheetId="6">[1]ED_gas_Savings!$A$5:$D$14</definedName>
    <definedName name="GAS">[2]ED_gas_Savings!$A$5:$D$14</definedName>
    <definedName name="InstR" localSheetId="6">[1]ED_IR!$B$6:$K$12</definedName>
    <definedName name="InstR">[2]ED_IR!$B$6:$K$12</definedName>
    <definedName name="MFIOU" localSheetId="6">[1]ED_Gas_Fraction!$C$11:$H$14</definedName>
    <definedName name="MFIOU">[2]ED_Gas_Fraction!$C$11:$H$14</definedName>
    <definedName name="NeToGross" localSheetId="6">[1]ED_NTG!$B$6:$F$9</definedName>
    <definedName name="NeToGross">[2]ED_NTG!$B$6:$F$9</definedName>
    <definedName name="Npeople">#REF!</definedName>
    <definedName name="Npeople_MF">#REF!</definedName>
    <definedName name="Npeople_SF">#REF!</definedName>
    <definedName name="Nshowerhd_MF">#REF!</definedName>
    <definedName name="Nshowerhd_SF">#REF!</definedName>
    <definedName name="NshowerMF">#REF!</definedName>
    <definedName name="Nshowers">#REF!</definedName>
    <definedName name="NshowerSF">#REF!</definedName>
    <definedName name="_xlnm.Print_Area" localSheetId="6">'Mixed Daily Water Calculator'!$B$1:$I$21</definedName>
    <definedName name="rho">#REF!</definedName>
    <definedName name="SFIOU" localSheetId="6">[1]ED_Gas_Fraction!$C$6:$H$9</definedName>
    <definedName name="SFIOU">[2]ED_Gas_Fraction!$C$6:$H$9</definedName>
    <definedName name="time_shower">#REF!</definedName>
    <definedName name="time_valve">#REF!</definedName>
    <definedName name="Tin">#REF!</definedName>
    <definedName name="Tout_hot">#REF!</definedName>
    <definedName name="Tout_temp">#REF!</definedName>
    <definedName name="Vdotbasefed">#REF!</definedName>
    <definedName name="VdotbaseSCG">#REF!</definedName>
    <definedName name="Vdotlow">#REF!</definedName>
    <definedName name="WP">#REF!</definedName>
  </definedNames>
  <calcPr calcId="145621"/>
</workbook>
</file>

<file path=xl/calcChain.xml><?xml version="1.0" encoding="utf-8"?>
<calcChain xmlns="http://schemas.openxmlformats.org/spreadsheetml/2006/main">
  <c r="C25" i="6" l="1"/>
  <c r="G8" i="6" l="1"/>
  <c r="A9" i="6"/>
  <c r="A11" i="6"/>
  <c r="A10" i="6"/>
  <c r="J9" i="6"/>
  <c r="J7" i="6"/>
  <c r="J2" i="6"/>
  <c r="J3" i="6"/>
  <c r="J4" i="7"/>
  <c r="E8" i="1"/>
  <c r="D19" i="6"/>
  <c r="H24" i="2" l="1"/>
  <c r="H38" i="2"/>
  <c r="N19" i="7"/>
  <c r="M19" i="7"/>
  <c r="L19" i="7"/>
  <c r="K19" i="7"/>
  <c r="J19" i="7"/>
  <c r="I19" i="7"/>
  <c r="H19" i="7"/>
  <c r="G19" i="7"/>
  <c r="F19" i="7"/>
  <c r="E19" i="7"/>
  <c r="D19" i="7"/>
  <c r="N19" i="6"/>
  <c r="M19" i="6"/>
  <c r="L19" i="6"/>
  <c r="K19" i="6"/>
  <c r="J19" i="6"/>
  <c r="I19" i="6"/>
  <c r="H19" i="6"/>
  <c r="G19" i="6"/>
  <c r="F19" i="6"/>
  <c r="E19" i="6"/>
  <c r="N19" i="1"/>
  <c r="M19" i="1"/>
  <c r="L19" i="1"/>
  <c r="K19" i="1"/>
  <c r="J19" i="1"/>
  <c r="I19" i="1"/>
  <c r="H19" i="1"/>
  <c r="G19" i="1"/>
  <c r="F19" i="1"/>
  <c r="E19" i="1"/>
  <c r="D19" i="1"/>
  <c r="N19" i="2"/>
  <c r="L19" i="2"/>
  <c r="J19" i="2"/>
  <c r="H19" i="2"/>
  <c r="F19" i="2"/>
  <c r="D19" i="2"/>
  <c r="H9" i="6"/>
  <c r="E9" i="6"/>
  <c r="H9" i="1"/>
  <c r="E9" i="1"/>
  <c r="F9" i="2"/>
  <c r="D9" i="2"/>
  <c r="E20" i="8"/>
  <c r="I20" i="8"/>
  <c r="H19" i="8"/>
  <c r="H20" i="8" s="1"/>
  <c r="D19" i="8"/>
  <c r="D20" i="8" s="1"/>
  <c r="H10" i="8"/>
  <c r="E10" i="8"/>
  <c r="G9" i="8"/>
  <c r="G10" i="8" s="1"/>
  <c r="F9" i="8"/>
  <c r="F10" i="8" s="1"/>
  <c r="C9" i="8"/>
  <c r="C10" i="8" s="1"/>
  <c r="H8" i="8"/>
  <c r="G8" i="8"/>
  <c r="F8" i="8"/>
  <c r="E8" i="8"/>
  <c r="D8" i="8"/>
  <c r="D9" i="8" s="1"/>
  <c r="D10" i="8" s="1"/>
  <c r="C8" i="8"/>
  <c r="D21" i="8" l="1"/>
  <c r="H21" i="8"/>
  <c r="I21" i="8" l="1"/>
  <c r="I19" i="8"/>
  <c r="E21" i="8"/>
  <c r="E19" i="8"/>
  <c r="F19" i="8" l="1"/>
  <c r="F20" i="8" s="1"/>
  <c r="F21" i="8" s="1"/>
  <c r="F34" i="8"/>
  <c r="D34" i="8" s="1"/>
  <c r="F33" i="8"/>
  <c r="D33" i="8" s="1"/>
  <c r="F32" i="8"/>
  <c r="D32" i="8" s="1"/>
  <c r="F31" i="8"/>
  <c r="D31" i="8" s="1"/>
  <c r="F30" i="8"/>
  <c r="D30" i="8" s="1"/>
  <c r="F29" i="8"/>
  <c r="D29" i="8" s="1"/>
  <c r="F28" i="8"/>
  <c r="D28" i="8" s="1"/>
  <c r="F27" i="8"/>
  <c r="D27" i="8" s="1"/>
  <c r="F26" i="8"/>
  <c r="D26" i="8" s="1"/>
  <c r="C19" i="8"/>
  <c r="C20" i="8" s="1"/>
  <c r="C21" i="8" s="1"/>
  <c r="G34" i="8"/>
  <c r="E34" i="8" s="1"/>
  <c r="G33" i="8"/>
  <c r="E33" i="8" s="1"/>
  <c r="G32" i="8"/>
  <c r="E32" i="8" s="1"/>
  <c r="G31" i="8"/>
  <c r="E31" i="8" s="1"/>
  <c r="G30" i="8"/>
  <c r="E30" i="8" s="1"/>
  <c r="G29" i="8"/>
  <c r="E29" i="8" s="1"/>
  <c r="G28" i="8"/>
  <c r="E28" i="8" s="1"/>
  <c r="G27" i="8"/>
  <c r="E27" i="8" s="1"/>
  <c r="G26" i="8"/>
  <c r="E26" i="8" s="1"/>
  <c r="J19" i="8"/>
  <c r="J20" i="8" s="1"/>
  <c r="J21" i="8" s="1"/>
  <c r="G19" i="8"/>
  <c r="G20" i="8" s="1"/>
  <c r="G21" i="8" s="1"/>
  <c r="P18" i="3" l="1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C50" i="7"/>
  <c r="K25" i="7"/>
  <c r="F59" i="7" s="1"/>
  <c r="I25" i="7"/>
  <c r="C63" i="7" s="1"/>
  <c r="E25" i="7"/>
  <c r="E40" i="7" s="1"/>
  <c r="D25" i="7"/>
  <c r="D33" i="7" s="1"/>
  <c r="K20" i="7"/>
  <c r="G20" i="7"/>
  <c r="H20" i="7" s="1"/>
  <c r="D20" i="7"/>
  <c r="C20" i="7"/>
  <c r="M20" i="7"/>
  <c r="N20" i="7" s="1"/>
  <c r="I20" i="7"/>
  <c r="J20" i="7" s="1"/>
  <c r="E20" i="7"/>
  <c r="C19" i="7"/>
  <c r="D10" i="7"/>
  <c r="C10" i="7"/>
  <c r="C9" i="7"/>
  <c r="H8" i="7"/>
  <c r="E8" i="7"/>
  <c r="J25" i="7" s="1"/>
  <c r="D8" i="7"/>
  <c r="D9" i="7" s="1"/>
  <c r="K20" i="6"/>
  <c r="C20" i="6"/>
  <c r="M20" i="6"/>
  <c r="N20" i="6" s="1"/>
  <c r="I20" i="6"/>
  <c r="J20" i="6" s="1"/>
  <c r="G20" i="6"/>
  <c r="H20" i="6" s="1"/>
  <c r="E20" i="6"/>
  <c r="F20" i="6" s="1"/>
  <c r="C19" i="6"/>
  <c r="C10" i="6"/>
  <c r="C9" i="6"/>
  <c r="H8" i="6"/>
  <c r="F25" i="6" s="1"/>
  <c r="F45" i="6" s="1"/>
  <c r="E8" i="6"/>
  <c r="D8" i="6"/>
  <c r="D9" i="6" s="1"/>
  <c r="D10" i="6" s="1"/>
  <c r="I20" i="1"/>
  <c r="J20" i="1" s="1"/>
  <c r="E20" i="1"/>
  <c r="M20" i="1"/>
  <c r="N20" i="1" s="1"/>
  <c r="K20" i="1"/>
  <c r="G20" i="1"/>
  <c r="C19" i="1"/>
  <c r="C20" i="1" s="1"/>
  <c r="C9" i="1"/>
  <c r="H8" i="1"/>
  <c r="L25" i="1" s="1"/>
  <c r="J25" i="1"/>
  <c r="D62" i="1" s="1"/>
  <c r="D8" i="1"/>
  <c r="D9" i="1" s="1"/>
  <c r="K20" i="2"/>
  <c r="M19" i="2"/>
  <c r="M20" i="2" s="1"/>
  <c r="K19" i="2"/>
  <c r="I19" i="2"/>
  <c r="I20" i="2" s="1"/>
  <c r="G19" i="2"/>
  <c r="G20" i="2" s="1"/>
  <c r="E19" i="2"/>
  <c r="E20" i="2" s="1"/>
  <c r="C19" i="2"/>
  <c r="C20" i="2" s="1"/>
  <c r="D10" i="2"/>
  <c r="E8" i="2"/>
  <c r="E9" i="2" s="1"/>
  <c r="E10" i="2" s="1"/>
  <c r="C8" i="2"/>
  <c r="C9" i="2" s="1"/>
  <c r="C10" i="2" s="1"/>
  <c r="F7" i="2"/>
  <c r="D7" i="2"/>
  <c r="F6" i="2"/>
  <c r="I6" i="2" s="1"/>
  <c r="D6" i="2"/>
  <c r="D8" i="2" s="1"/>
  <c r="F5" i="2"/>
  <c r="D5" i="2"/>
  <c r="F4" i="2"/>
  <c r="I7" i="2" s="1"/>
  <c r="D4" i="2"/>
  <c r="I3" i="2" s="1"/>
  <c r="F3" i="2"/>
  <c r="D3" i="2"/>
  <c r="I2" i="2"/>
  <c r="F20" i="7" l="1"/>
  <c r="G25" i="6"/>
  <c r="G37" i="6" s="1"/>
  <c r="G30" i="6"/>
  <c r="H25" i="6"/>
  <c r="H42" i="6" s="1"/>
  <c r="K25" i="6"/>
  <c r="F59" i="6" s="1"/>
  <c r="L25" i="6"/>
  <c r="G62" i="6" s="1"/>
  <c r="F25" i="1"/>
  <c r="F40" i="1" s="1"/>
  <c r="C54" i="7"/>
  <c r="C58" i="7"/>
  <c r="C62" i="7"/>
  <c r="D24" i="2"/>
  <c r="C24" i="2"/>
  <c r="J24" i="2"/>
  <c r="I24" i="2"/>
  <c r="E24" i="2"/>
  <c r="F20" i="2"/>
  <c r="N20" i="2"/>
  <c r="H20" i="2"/>
  <c r="L20" i="2"/>
  <c r="J20" i="2"/>
  <c r="D20" i="2"/>
  <c r="H20" i="1"/>
  <c r="F20" i="1"/>
  <c r="F45" i="1"/>
  <c r="F31" i="1"/>
  <c r="F8" i="2"/>
  <c r="D25" i="1"/>
  <c r="D20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I25" i="1"/>
  <c r="D49" i="1"/>
  <c r="D51" i="1"/>
  <c r="D53" i="1"/>
  <c r="D55" i="1"/>
  <c r="D57" i="1"/>
  <c r="D59" i="1"/>
  <c r="D61" i="1"/>
  <c r="D63" i="1"/>
  <c r="G34" i="6"/>
  <c r="G33" i="6"/>
  <c r="G32" i="6"/>
  <c r="G31" i="6"/>
  <c r="F37" i="6"/>
  <c r="G44" i="6"/>
  <c r="E32" i="7"/>
  <c r="E39" i="7"/>
  <c r="D20" i="6"/>
  <c r="F39" i="6"/>
  <c r="F63" i="7"/>
  <c r="F60" i="7"/>
  <c r="F56" i="7"/>
  <c r="F52" i="7"/>
  <c r="F48" i="7"/>
  <c r="F61" i="7"/>
  <c r="F57" i="7"/>
  <c r="F53" i="7"/>
  <c r="F49" i="7"/>
  <c r="F62" i="7"/>
  <c r="F58" i="7"/>
  <c r="F54" i="7"/>
  <c r="F50" i="7"/>
  <c r="F55" i="7"/>
  <c r="C25" i="1"/>
  <c r="G25" i="1"/>
  <c r="K25" i="1"/>
  <c r="D48" i="1"/>
  <c r="D50" i="1"/>
  <c r="D52" i="1"/>
  <c r="D54" i="1"/>
  <c r="D56" i="1"/>
  <c r="D58" i="1"/>
  <c r="D60" i="1"/>
  <c r="J25" i="6"/>
  <c r="I25" i="6"/>
  <c r="E25" i="6"/>
  <c r="G36" i="6"/>
  <c r="F25" i="7"/>
  <c r="H25" i="7"/>
  <c r="L25" i="7"/>
  <c r="G25" i="7"/>
  <c r="D44" i="7"/>
  <c r="D42" i="7"/>
  <c r="D40" i="7"/>
  <c r="D38" i="7"/>
  <c r="D36" i="7"/>
  <c r="D34" i="7"/>
  <c r="D32" i="7"/>
  <c r="D30" i="7"/>
  <c r="D39" i="7"/>
  <c r="D31" i="7"/>
  <c r="D45" i="7"/>
  <c r="D37" i="7"/>
  <c r="D43" i="7"/>
  <c r="D35" i="7"/>
  <c r="D41" i="7"/>
  <c r="F51" i="7"/>
  <c r="H25" i="1"/>
  <c r="F44" i="6"/>
  <c r="F42" i="6"/>
  <c r="F40" i="6"/>
  <c r="F38" i="6"/>
  <c r="F36" i="6"/>
  <c r="F34" i="6"/>
  <c r="F32" i="6"/>
  <c r="F30" i="6"/>
  <c r="F43" i="6"/>
  <c r="F35" i="6"/>
  <c r="F41" i="6"/>
  <c r="F33" i="6"/>
  <c r="D25" i="6"/>
  <c r="G63" i="6"/>
  <c r="F31" i="6"/>
  <c r="G38" i="6"/>
  <c r="E45" i="7"/>
  <c r="E38" i="7"/>
  <c r="E37" i="7"/>
  <c r="E30" i="7"/>
  <c r="E44" i="7"/>
  <c r="E43" i="7"/>
  <c r="E36" i="7"/>
  <c r="E35" i="7"/>
  <c r="E42" i="7"/>
  <c r="E41" i="7"/>
  <c r="E34" i="7"/>
  <c r="E33" i="7"/>
  <c r="E31" i="7"/>
  <c r="C49" i="7"/>
  <c r="C53" i="7"/>
  <c r="C57" i="7"/>
  <c r="C61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C25" i="7"/>
  <c r="C48" i="7"/>
  <c r="C52" i="7"/>
  <c r="C56" i="7"/>
  <c r="C60" i="7"/>
  <c r="C51" i="7"/>
  <c r="C55" i="7"/>
  <c r="C59" i="7"/>
  <c r="F33" i="1" l="1"/>
  <c r="F34" i="1"/>
  <c r="F35" i="1"/>
  <c r="F38" i="1"/>
  <c r="F30" i="1"/>
  <c r="F42" i="1"/>
  <c r="E25" i="1"/>
  <c r="E39" i="1" s="1"/>
  <c r="F41" i="1"/>
  <c r="F37" i="1"/>
  <c r="F36" i="1"/>
  <c r="F44" i="1"/>
  <c r="F39" i="1"/>
  <c r="F43" i="1"/>
  <c r="F32" i="1"/>
  <c r="G51" i="6"/>
  <c r="G39" i="6"/>
  <c r="G41" i="6"/>
  <c r="G45" i="6"/>
  <c r="G59" i="6"/>
  <c r="G43" i="6"/>
  <c r="G35" i="6"/>
  <c r="G40" i="6"/>
  <c r="G42" i="6"/>
  <c r="H31" i="6"/>
  <c r="F50" i="6"/>
  <c r="H43" i="6"/>
  <c r="F56" i="6"/>
  <c r="F55" i="6"/>
  <c r="F49" i="6"/>
  <c r="F52" i="6"/>
  <c r="F54" i="6"/>
  <c r="F53" i="6"/>
  <c r="H32" i="6"/>
  <c r="H37" i="6"/>
  <c r="G55" i="6"/>
  <c r="H44" i="6"/>
  <c r="H40" i="6"/>
  <c r="H39" i="6"/>
  <c r="H30" i="6"/>
  <c r="H35" i="6"/>
  <c r="H45" i="6"/>
  <c r="G48" i="6"/>
  <c r="G52" i="6"/>
  <c r="G56" i="6"/>
  <c r="G60" i="6"/>
  <c r="G49" i="6"/>
  <c r="G53" i="6"/>
  <c r="G57" i="6"/>
  <c r="G61" i="6"/>
  <c r="F58" i="6"/>
  <c r="F57" i="6"/>
  <c r="F48" i="6"/>
  <c r="F63" i="6"/>
  <c r="H36" i="6"/>
  <c r="G50" i="6"/>
  <c r="G54" i="6"/>
  <c r="G58" i="6"/>
  <c r="F60" i="6"/>
  <c r="H34" i="6"/>
  <c r="F62" i="6"/>
  <c r="F61" i="6"/>
  <c r="H38" i="6"/>
  <c r="H33" i="6"/>
  <c r="H41" i="6"/>
  <c r="F51" i="6"/>
  <c r="G61" i="7"/>
  <c r="G57" i="7"/>
  <c r="G53" i="7"/>
  <c r="G49" i="7"/>
  <c r="G62" i="7"/>
  <c r="G58" i="7"/>
  <c r="G54" i="7"/>
  <c r="G50" i="7"/>
  <c r="G59" i="7"/>
  <c r="G55" i="7"/>
  <c r="G51" i="7"/>
  <c r="G63" i="7"/>
  <c r="G52" i="7"/>
  <c r="G56" i="7"/>
  <c r="G60" i="7"/>
  <c r="G48" i="7"/>
  <c r="C40" i="6"/>
  <c r="C39" i="6"/>
  <c r="C32" i="6"/>
  <c r="C31" i="6"/>
  <c r="C45" i="6"/>
  <c r="C38" i="6"/>
  <c r="C37" i="6"/>
  <c r="C30" i="6"/>
  <c r="C44" i="6"/>
  <c r="C35" i="6"/>
  <c r="C42" i="6"/>
  <c r="C33" i="6"/>
  <c r="C43" i="6"/>
  <c r="C36" i="6"/>
  <c r="C41" i="6"/>
  <c r="C34" i="6"/>
  <c r="G44" i="1"/>
  <c r="G43" i="1"/>
  <c r="G36" i="1"/>
  <c r="G35" i="1"/>
  <c r="G42" i="1"/>
  <c r="G41" i="1"/>
  <c r="G34" i="1"/>
  <c r="G33" i="1"/>
  <c r="G40" i="1"/>
  <c r="G39" i="1"/>
  <c r="G32" i="1"/>
  <c r="G31" i="1"/>
  <c r="G45" i="1"/>
  <c r="G38" i="1"/>
  <c r="G37" i="1"/>
  <c r="G30" i="1"/>
  <c r="C65" i="2"/>
  <c r="C61" i="2"/>
  <c r="C57" i="2"/>
  <c r="C53" i="2"/>
  <c r="C64" i="2"/>
  <c r="C60" i="2"/>
  <c r="C56" i="2"/>
  <c r="C52" i="2"/>
  <c r="C63" i="2"/>
  <c r="C59" i="2"/>
  <c r="C55" i="2"/>
  <c r="C51" i="2"/>
  <c r="C66" i="2"/>
  <c r="C62" i="2"/>
  <c r="C58" i="2"/>
  <c r="C54" i="2"/>
  <c r="C41" i="7"/>
  <c r="C40" i="7"/>
  <c r="C33" i="7"/>
  <c r="C32" i="7"/>
  <c r="C39" i="7"/>
  <c r="C38" i="7"/>
  <c r="C31" i="7"/>
  <c r="C30" i="7"/>
  <c r="C45" i="7"/>
  <c r="C44" i="7"/>
  <c r="C37" i="7"/>
  <c r="C36" i="7"/>
  <c r="C42" i="7"/>
  <c r="C35" i="7"/>
  <c r="C34" i="7"/>
  <c r="C43" i="7"/>
  <c r="D45" i="6"/>
  <c r="D43" i="6"/>
  <c r="D41" i="6"/>
  <c r="D39" i="6"/>
  <c r="D37" i="6"/>
  <c r="D35" i="6"/>
  <c r="D33" i="6"/>
  <c r="D31" i="6"/>
  <c r="D38" i="6"/>
  <c r="D30" i="6"/>
  <c r="D44" i="6"/>
  <c r="D36" i="6"/>
  <c r="D42" i="6"/>
  <c r="D40" i="6"/>
  <c r="D34" i="6"/>
  <c r="D32" i="6"/>
  <c r="H44" i="7"/>
  <c r="H42" i="7"/>
  <c r="H40" i="7"/>
  <c r="H38" i="7"/>
  <c r="H36" i="7"/>
  <c r="H34" i="7"/>
  <c r="H32" i="7"/>
  <c r="H30" i="7"/>
  <c r="H41" i="7"/>
  <c r="H33" i="7"/>
  <c r="H39" i="7"/>
  <c r="H31" i="7"/>
  <c r="H45" i="7"/>
  <c r="H37" i="7"/>
  <c r="H43" i="7"/>
  <c r="H35" i="7"/>
  <c r="E45" i="6"/>
  <c r="E44" i="6"/>
  <c r="E37" i="6"/>
  <c r="E36" i="6"/>
  <c r="E43" i="6"/>
  <c r="E42" i="6"/>
  <c r="E35" i="6"/>
  <c r="E34" i="6"/>
  <c r="E40" i="6"/>
  <c r="E33" i="6"/>
  <c r="E38" i="6"/>
  <c r="E31" i="6"/>
  <c r="E41" i="6"/>
  <c r="E32" i="6"/>
  <c r="E39" i="6"/>
  <c r="E30" i="6"/>
  <c r="C42" i="1"/>
  <c r="C41" i="1"/>
  <c r="C34" i="1"/>
  <c r="C33" i="1"/>
  <c r="C40" i="1"/>
  <c r="C39" i="1"/>
  <c r="C32" i="1"/>
  <c r="C31" i="1"/>
  <c r="C45" i="1"/>
  <c r="C38" i="1"/>
  <c r="C37" i="1"/>
  <c r="C44" i="1"/>
  <c r="C43" i="1"/>
  <c r="C36" i="1"/>
  <c r="C35" i="1"/>
  <c r="C30" i="1"/>
  <c r="D45" i="1"/>
  <c r="D43" i="1"/>
  <c r="D41" i="1"/>
  <c r="D39" i="1"/>
  <c r="D37" i="1"/>
  <c r="D35" i="1"/>
  <c r="D33" i="1"/>
  <c r="D31" i="1"/>
  <c r="D40" i="1"/>
  <c r="D32" i="1"/>
  <c r="D38" i="1"/>
  <c r="D44" i="1"/>
  <c r="D36" i="1"/>
  <c r="D30" i="1"/>
  <c r="D42" i="1"/>
  <c r="D34" i="1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H45" i="1"/>
  <c r="H43" i="1"/>
  <c r="H41" i="1"/>
  <c r="H39" i="1"/>
  <c r="H37" i="1"/>
  <c r="H35" i="1"/>
  <c r="H33" i="1"/>
  <c r="H31" i="1"/>
  <c r="H42" i="1"/>
  <c r="H34" i="1"/>
  <c r="H40" i="1"/>
  <c r="H32" i="1"/>
  <c r="H38" i="1"/>
  <c r="H30" i="1"/>
  <c r="H44" i="1"/>
  <c r="H36" i="1"/>
  <c r="F45" i="7"/>
  <c r="F43" i="7"/>
  <c r="F41" i="7"/>
  <c r="F39" i="7"/>
  <c r="F37" i="7"/>
  <c r="F35" i="7"/>
  <c r="F33" i="7"/>
  <c r="F31" i="7"/>
  <c r="F44" i="7"/>
  <c r="F36" i="7"/>
  <c r="F42" i="7"/>
  <c r="F34" i="7"/>
  <c r="F40" i="7"/>
  <c r="F32" i="7"/>
  <c r="F38" i="7"/>
  <c r="F30" i="7"/>
  <c r="C63" i="6"/>
  <c r="C59" i="6"/>
  <c r="C55" i="6"/>
  <c r="C51" i="6"/>
  <c r="C60" i="6"/>
  <c r="C56" i="6"/>
  <c r="C52" i="6"/>
  <c r="C48" i="6"/>
  <c r="C61" i="6"/>
  <c r="C53" i="6"/>
  <c r="C58" i="6"/>
  <c r="C50" i="6"/>
  <c r="C57" i="6"/>
  <c r="C49" i="6"/>
  <c r="C62" i="6"/>
  <c r="C54" i="6"/>
  <c r="C63" i="1"/>
  <c r="C61" i="1"/>
  <c r="C59" i="1"/>
  <c r="C57" i="1"/>
  <c r="C55" i="1"/>
  <c r="C53" i="1"/>
  <c r="C51" i="1"/>
  <c r="C49" i="1"/>
  <c r="C62" i="1"/>
  <c r="C60" i="1"/>
  <c r="C58" i="1"/>
  <c r="C56" i="1"/>
  <c r="C54" i="1"/>
  <c r="C52" i="1"/>
  <c r="C50" i="1"/>
  <c r="C48" i="1"/>
  <c r="L24" i="2"/>
  <c r="K24" i="2"/>
  <c r="G24" i="2"/>
  <c r="F24" i="2"/>
  <c r="C48" i="2"/>
  <c r="C46" i="2"/>
  <c r="C44" i="2"/>
  <c r="C42" i="2"/>
  <c r="C45" i="2"/>
  <c r="C47" i="2"/>
  <c r="C40" i="2"/>
  <c r="C38" i="2"/>
  <c r="C36" i="2"/>
  <c r="C34" i="2"/>
  <c r="C43" i="2"/>
  <c r="C41" i="2"/>
  <c r="C39" i="2"/>
  <c r="C37" i="2"/>
  <c r="C35" i="2"/>
  <c r="C33" i="2"/>
  <c r="G43" i="7"/>
  <c r="G42" i="7"/>
  <c r="G35" i="7"/>
  <c r="G34" i="7"/>
  <c r="G41" i="7"/>
  <c r="G40" i="7"/>
  <c r="G33" i="7"/>
  <c r="G32" i="7"/>
  <c r="G39" i="7"/>
  <c r="G38" i="7"/>
  <c r="G31" i="7"/>
  <c r="G30" i="7"/>
  <c r="G45" i="7"/>
  <c r="G44" i="7"/>
  <c r="G37" i="7"/>
  <c r="G36" i="7"/>
  <c r="D60" i="6"/>
  <c r="D56" i="6"/>
  <c r="D52" i="6"/>
  <c r="D48" i="6"/>
  <c r="D61" i="6"/>
  <c r="D57" i="6"/>
  <c r="D53" i="6"/>
  <c r="D49" i="6"/>
  <c r="D58" i="6"/>
  <c r="D50" i="6"/>
  <c r="D63" i="6"/>
  <c r="D55" i="6"/>
  <c r="D62" i="6"/>
  <c r="D54" i="6"/>
  <c r="D59" i="6"/>
  <c r="D51" i="6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E38" i="1"/>
  <c r="E31" i="1"/>
  <c r="E45" i="1"/>
  <c r="E37" i="1"/>
  <c r="E36" i="1"/>
  <c r="E30" i="1"/>
  <c r="E42" i="1"/>
  <c r="E35" i="1"/>
  <c r="E34" i="1"/>
  <c r="E40" i="1"/>
  <c r="E33" i="1"/>
  <c r="E32" i="1"/>
  <c r="E47" i="2"/>
  <c r="E45" i="2"/>
  <c r="E43" i="2"/>
  <c r="E41" i="2"/>
  <c r="E42" i="2"/>
  <c r="E44" i="2"/>
  <c r="E39" i="2"/>
  <c r="E37" i="2"/>
  <c r="E35" i="2"/>
  <c r="E33" i="2"/>
  <c r="E46" i="2"/>
  <c r="E48" i="2"/>
  <c r="E40" i="2"/>
  <c r="E38" i="2"/>
  <c r="E36" i="2"/>
  <c r="E34" i="2"/>
  <c r="D47" i="2"/>
  <c r="D45" i="2"/>
  <c r="D43" i="2"/>
  <c r="D48" i="2"/>
  <c r="D46" i="2"/>
  <c r="D44" i="2"/>
  <c r="D42" i="2"/>
  <c r="D40" i="2"/>
  <c r="D38" i="2"/>
  <c r="D36" i="2"/>
  <c r="D34" i="2"/>
  <c r="D41" i="2"/>
  <c r="D39" i="2"/>
  <c r="D37" i="2"/>
  <c r="D35" i="2"/>
  <c r="D33" i="2"/>
  <c r="E41" i="1" l="1"/>
  <c r="E43" i="1"/>
  <c r="E44" i="1"/>
  <c r="G48" i="2"/>
  <c r="G46" i="2"/>
  <c r="G44" i="2"/>
  <c r="G42" i="2"/>
  <c r="G47" i="2"/>
  <c r="G41" i="2"/>
  <c r="G40" i="2"/>
  <c r="G38" i="2"/>
  <c r="G36" i="2"/>
  <c r="G34" i="2"/>
  <c r="G43" i="2"/>
  <c r="G45" i="2"/>
  <c r="G39" i="2"/>
  <c r="G37" i="2"/>
  <c r="G35" i="2"/>
  <c r="G33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H47" i="2"/>
  <c r="H45" i="2"/>
  <c r="H43" i="2"/>
  <c r="H41" i="2"/>
  <c r="H48" i="2"/>
  <c r="H46" i="2"/>
  <c r="H44" i="2"/>
  <c r="H42" i="2"/>
  <c r="H40" i="2"/>
  <c r="H36" i="2"/>
  <c r="H34" i="2"/>
  <c r="H39" i="2"/>
  <c r="H37" i="2"/>
  <c r="H35" i="2"/>
  <c r="H33" i="2"/>
  <c r="F48" i="2"/>
  <c r="F46" i="2"/>
  <c r="F44" i="2"/>
  <c r="F42" i="2"/>
  <c r="F47" i="2"/>
  <c r="F45" i="2"/>
  <c r="F43" i="2"/>
  <c r="F41" i="2"/>
  <c r="F39" i="2"/>
  <c r="F37" i="2"/>
  <c r="F35" i="2"/>
  <c r="F33" i="2"/>
  <c r="F40" i="2"/>
  <c r="F38" i="2"/>
  <c r="F36" i="2"/>
  <c r="F34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</calcChain>
</file>

<file path=xl/comments1.xml><?xml version="1.0" encoding="utf-8"?>
<comments xmlns="http://schemas.openxmlformats.org/spreadsheetml/2006/main">
  <authors>
    <author>CPaek</author>
  </authors>
  <commentList>
    <comment ref="D2" author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E2" author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C3" authorId="0">
      <text>
        <r>
          <rPr>
            <b/>
            <sz val="8"/>
            <color indexed="81"/>
            <rFont val="Tahoma"/>
            <family val="2"/>
          </rPr>
          <t xml:space="preserve">CPaek: </t>
        </r>
        <r>
          <rPr>
            <sz val="8"/>
            <color indexed="81"/>
            <rFont val="Tahoma"/>
            <family val="2"/>
          </rPr>
          <t xml:space="preserve">Shower duration in minute.
PG&amp;E asseumed this to be 8.2 min/shower.  Sempra Utility survey by ASW shows that to be 11.2 minutes/shower.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PG&amp;E used 2.52 showers per day in a household for single family. 
2.79 showers/day/household is the average result from reduced SCG/SDG&amp;E survey data.</t>
        </r>
      </text>
    </comment>
    <comment ref="C7" author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2.5 showerheads per single-family household was used by PG&amp;E.  SCG survey resulted in 1.9 showerheads per household.</t>
        </r>
      </text>
    </comment>
  </commentList>
</comments>
</file>

<file path=xl/sharedStrings.xml><?xml version="1.0" encoding="utf-8"?>
<sst xmlns="http://schemas.openxmlformats.org/spreadsheetml/2006/main" count="650" uniqueCount="150">
  <si>
    <t>Baseline Calculation</t>
  </si>
  <si>
    <t>SF Code</t>
  </si>
  <si>
    <t>SF Avg</t>
  </si>
  <si>
    <t>Adjusted SF Avg</t>
  </si>
  <si>
    <t>MF Code</t>
  </si>
  <si>
    <t>MF Avg</t>
  </si>
  <si>
    <t>Adjusted MF Avg</t>
  </si>
  <si>
    <t>SF = Single Family</t>
  </si>
  <si>
    <t>Baseline Flow rate</t>
  </si>
  <si>
    <t>gpm</t>
  </si>
  <si>
    <t>MF = Multi Family</t>
  </si>
  <si>
    <t>Average shower time</t>
  </si>
  <si>
    <t>min</t>
  </si>
  <si>
    <t>Number of showers taken per day per household</t>
  </si>
  <si>
    <t>Showers/household/day</t>
  </si>
  <si>
    <t>Cold temp</t>
  </si>
  <si>
    <t>Throttling factor</t>
  </si>
  <si>
    <t>-</t>
  </si>
  <si>
    <t>Shower water temp</t>
  </si>
  <si>
    <t>days/year</t>
  </si>
  <si>
    <t>Hot temp</t>
  </si>
  <si>
    <t>Number of showerheads per household</t>
  </si>
  <si>
    <t>showerhead/household</t>
  </si>
  <si>
    <t>Baseline Water consumption</t>
  </si>
  <si>
    <t>Gallons / showerhead / year</t>
  </si>
  <si>
    <t>Mixed water daily use for shower</t>
  </si>
  <si>
    <t>Gallons / household / day</t>
  </si>
  <si>
    <t>Hot water daily use for shower</t>
  </si>
  <si>
    <t xml:space="preserve">Measure Calculation </t>
  </si>
  <si>
    <t>Low Flow rate</t>
  </si>
  <si>
    <t>Measure Water consumption</t>
  </si>
  <si>
    <t>SF 1.5 gpm</t>
  </si>
  <si>
    <t>SF 1.6 gpm</t>
  </si>
  <si>
    <t>Adjusted SF 1.6 gpm</t>
  </si>
  <si>
    <t>Adjusted SF 1.5 gpm</t>
  </si>
  <si>
    <t>RET</t>
  </si>
  <si>
    <t>2.25gpm</t>
  </si>
  <si>
    <t>SF 1.7 gpm</t>
  </si>
  <si>
    <t>Adjusted SF 1.7 gpm</t>
  </si>
  <si>
    <t>SF</t>
  </si>
  <si>
    <r>
      <t>1</t>
    </r>
    <r>
      <rPr>
        <sz val="10"/>
        <rFont val="Arial"/>
        <family val="2"/>
      </rPr>
      <t>.5 gpm</t>
    </r>
  </si>
  <si>
    <r>
      <t>1</t>
    </r>
    <r>
      <rPr>
        <sz val="10"/>
        <rFont val="Arial"/>
        <family val="2"/>
      </rPr>
      <t>.6 gpm</t>
    </r>
  </si>
  <si>
    <r>
      <t>1</t>
    </r>
    <r>
      <rPr>
        <sz val="10"/>
        <rFont val="Arial"/>
        <family val="2"/>
      </rPr>
      <t>.7 gpm</t>
    </r>
  </si>
  <si>
    <t>2.25 gpm Baseline Avg</t>
  </si>
  <si>
    <t>Water volume conversion</t>
  </si>
  <si>
    <t xml:space="preserve"> Water density @ 60°F</t>
  </si>
  <si>
    <t>Cp of water</t>
  </si>
  <si>
    <t>Cold water temperature</t>
  </si>
  <si>
    <t>water temp @ showerhead</t>
  </si>
  <si>
    <t>Water heater min. efficiency</t>
  </si>
  <si>
    <r>
      <t>gal / ft</t>
    </r>
    <r>
      <rPr>
        <vertAlign val="superscript"/>
        <sz val="8"/>
        <rFont val="Arial"/>
        <family val="2"/>
      </rPr>
      <t>3</t>
    </r>
  </si>
  <si>
    <r>
      <t>lbm / ft</t>
    </r>
    <r>
      <rPr>
        <vertAlign val="superscript"/>
        <sz val="8"/>
        <rFont val="Arial"/>
        <family val="2"/>
      </rPr>
      <t>3</t>
    </r>
  </si>
  <si>
    <t>btu / lbm / °F</t>
  </si>
  <si>
    <t>° F</t>
  </si>
  <si>
    <t>unitless</t>
  </si>
  <si>
    <t>Therms Saved</t>
  </si>
  <si>
    <t>1.5 gpm</t>
  </si>
  <si>
    <t>1.6 gpm</t>
  </si>
  <si>
    <t>1.7 gpm</t>
  </si>
  <si>
    <t>Baseline SCG - 2.25 gpm</t>
  </si>
  <si>
    <t>CZ2010 Weather Files (weather files for 2013 Title-24)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</si>
  <si>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</si>
  <si>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</si>
  <si>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</si>
  <si>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</si>
  <si>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</si>
  <si>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</si>
  <si>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</si>
  <si>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</si>
  <si>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</si>
  <si>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</si>
  <si>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</si>
  <si>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</si>
  <si>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</si>
  <si>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Weighted Average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</si>
  <si>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</si>
  <si>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</si>
  <si>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</si>
  <si>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</si>
  <si>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</si>
  <si>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</si>
  <si>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</si>
  <si>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</si>
  <si>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</si>
  <si>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</si>
  <si>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</si>
  <si>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</si>
  <si>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</si>
  <si>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</si>
  <si>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</si>
  <si>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</si>
  <si>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 1.5 gpm</t>
  </si>
  <si>
    <t>MF 1.6 gpm</t>
  </si>
  <si>
    <t>Adjusted MF 1.6 gpm</t>
  </si>
  <si>
    <t>MF 1.7 gpm</t>
  </si>
  <si>
    <t>Adjusted MF 1.5 gpm</t>
  </si>
  <si>
    <t>Adjusted MF 1.7 gpm</t>
  </si>
  <si>
    <t>MF</t>
  </si>
  <si>
    <t>Adjusted SF Code</t>
  </si>
  <si>
    <t>Adjusted MF Code</t>
  </si>
  <si>
    <t>2.5 gpm Baseline Avg</t>
  </si>
  <si>
    <t>Baseline SCG - 2.5 gpm</t>
  </si>
  <si>
    <t>NEW</t>
  </si>
  <si>
    <t>gal per shower</t>
  </si>
  <si>
    <t>Shower per Shower head</t>
  </si>
  <si>
    <t>flow rate
(GPM)</t>
  </si>
  <si>
    <t>1.25 gpm</t>
  </si>
  <si>
    <t>1.0 gpm</t>
  </si>
  <si>
    <t>SF
(Gal/day)</t>
  </si>
  <si>
    <t>MF
(Gal/day)</t>
  </si>
  <si>
    <t>Annual SF
Volume(Gal)</t>
  </si>
  <si>
    <t>Annual MF
Volume(Gal)</t>
  </si>
  <si>
    <t>Baseline SCG - 2.00 gpm</t>
  </si>
  <si>
    <t>Baseline SCG - 1.8 gpm</t>
  </si>
  <si>
    <t>SF Water Savings</t>
  </si>
  <si>
    <t>MF Water Savings</t>
  </si>
  <si>
    <t>Annual Consumption and GPM adjustment</t>
  </si>
  <si>
    <t xml:space="preserve">*From Disposition </t>
  </si>
  <si>
    <t>Baseline Calculation</t>
    <phoneticPr fontId="0" type="noConversion"/>
  </si>
  <si>
    <t>SF Code</t>
    <phoneticPr fontId="0" type="noConversion"/>
  </si>
  <si>
    <t>SF Avg</t>
    <phoneticPr fontId="0" type="noConversion"/>
  </si>
  <si>
    <t>MF Code</t>
    <phoneticPr fontId="0" type="noConversion"/>
  </si>
  <si>
    <t>MF Avg</t>
    <phoneticPr fontId="0" type="noConversion"/>
  </si>
  <si>
    <t>SF = Single Family</t>
    <phoneticPr fontId="0" type="noConversion"/>
  </si>
  <si>
    <t>Baseline Flow rate</t>
    <phoneticPr fontId="0" type="noConversion"/>
  </si>
  <si>
    <t>gpm</t>
    <phoneticPr fontId="0" type="noConversion"/>
  </si>
  <si>
    <t>MF = Multi Family</t>
    <phoneticPr fontId="0" type="noConversion"/>
  </si>
  <si>
    <t>Average shower time</t>
    <phoneticPr fontId="0" type="noConversion"/>
  </si>
  <si>
    <t>min</t>
    <phoneticPr fontId="0" type="noConversion"/>
  </si>
  <si>
    <t>Number of showers taken per day per household</t>
    <phoneticPr fontId="0" type="noConversion"/>
  </si>
  <si>
    <t>Showers/household/day</t>
    <phoneticPr fontId="0" type="noConversion"/>
  </si>
  <si>
    <t>Cold temp</t>
    <phoneticPr fontId="0" type="noConversion"/>
  </si>
  <si>
    <t>Throttling factor</t>
    <phoneticPr fontId="0" type="noConversion"/>
  </si>
  <si>
    <t>-</t>
    <phoneticPr fontId="0" type="noConversion"/>
  </si>
  <si>
    <t>Shower water temp</t>
    <phoneticPr fontId="0" type="noConversion"/>
  </si>
  <si>
    <t>days/year</t>
    <phoneticPr fontId="0" type="noConversion"/>
  </si>
  <si>
    <t>Hot temp</t>
    <phoneticPr fontId="0" type="noConversion"/>
  </si>
  <si>
    <t>Number of showerheads per household</t>
    <phoneticPr fontId="0" type="noConversion"/>
  </si>
  <si>
    <t>showerhead/household</t>
    <phoneticPr fontId="0" type="noConversion"/>
  </si>
  <si>
    <t>Baseline Water consumption</t>
    <phoneticPr fontId="0" type="noConversion"/>
  </si>
  <si>
    <t>Gallons / showerhead / year</t>
    <phoneticPr fontId="0" type="noConversion"/>
  </si>
  <si>
    <t>Mixed water daily use for shower</t>
    <phoneticPr fontId="0" type="noConversion"/>
  </si>
  <si>
    <t>Gallons / household / day</t>
    <phoneticPr fontId="0" type="noConversion"/>
  </si>
  <si>
    <t>Hot water daily use for shower</t>
    <phoneticPr fontId="0" type="noConversion"/>
  </si>
  <si>
    <t xml:space="preserve">Measure Calculation </t>
    <phoneticPr fontId="0" type="noConversion"/>
  </si>
  <si>
    <t>Low Flow rate</t>
    <phoneticPr fontId="0" type="noConversion"/>
  </si>
  <si>
    <t>Measure Water consumption</t>
    <phoneticPr fontId="0" type="noConversion"/>
  </si>
  <si>
    <t>Gallons / showerhead / day</t>
    <phoneticPr fontId="0" type="noConversion"/>
  </si>
  <si>
    <t>2.00 gpm Baseline Avg</t>
  </si>
  <si>
    <t>1.8 gpm Baseline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</si>
</sst>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"/>
    <numFmt numFmtId="165" formatCode="0.00_ "/>
    <numFmt numFmtId="166" formatCode="0_ "/>
    <numFmt numFmtId="167" formatCode="0.0_ "/>
    <numFmt numFmtId="168" formatCode="_(* #,##0.0_);_(* \(#,##0.0\);_(* &quot;-&quot;??_);_(@_)"/>
    <numFmt numFmtId="169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55"/>
      <name val="Arial"/>
      <family val="2"/>
    </font>
    <font>
      <b/>
      <sz val="8"/>
      <color indexed="55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b/>
      <sz val="12"/>
      <color indexed="12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</cellStyleXfs>
  <cellXfs count="215">
    <xf numFmtId="0" fontId="0" fillId="0" borderId="0" xfId="0"/>
    <xf numFmtId="0" fontId="4" fillId="0" borderId="0" xfId="2" applyFill="1" applyBorder="1"/>
    <xf numFmtId="0" fontId="5" fillId="0" borderId="1" xfId="2" applyFont="1" applyFill="1" applyBorder="1" applyAlignment="1">
      <alignment horizontal="right"/>
    </xf>
    <xf numFmtId="0" fontId="4" fillId="0" borderId="1" xfId="2" applyFill="1" applyBorder="1"/>
    <xf numFmtId="0" fontId="7" fillId="0" borderId="1" xfId="2" applyFont="1" applyFill="1" applyBorder="1"/>
    <xf numFmtId="0" fontId="4" fillId="0" borderId="2" xfId="2" applyFill="1" applyBorder="1"/>
    <xf numFmtId="0" fontId="4" fillId="0" borderId="0" xfId="2" applyFill="1" applyBorder="1" applyAlignment="1">
      <alignment horizontal="right"/>
    </xf>
    <xf numFmtId="165" fontId="4" fillId="3" borderId="11" xfId="2" applyNumberFormat="1" applyFill="1" applyBorder="1"/>
    <xf numFmtId="0" fontId="7" fillId="0" borderId="0" xfId="2" applyFont="1" applyFill="1" applyBorder="1"/>
    <xf numFmtId="0" fontId="4" fillId="0" borderId="7" xfId="2" applyFill="1" applyBorder="1"/>
    <xf numFmtId="0" fontId="4" fillId="3" borderId="11" xfId="2" applyFill="1" applyBorder="1"/>
    <xf numFmtId="0" fontId="7" fillId="0" borderId="0" xfId="2" applyFont="1" applyFill="1" applyBorder="1" applyAlignment="1">
      <alignment horizontal="right"/>
    </xf>
    <xf numFmtId="0" fontId="4" fillId="0" borderId="7" xfId="2" applyFill="1" applyBorder="1" applyAlignment="1">
      <alignment horizontal="left"/>
    </xf>
    <xf numFmtId="0" fontId="6" fillId="0" borderId="0" xfId="2" applyFont="1" applyFill="1" applyBorder="1" applyAlignment="1">
      <alignment horizontal="right"/>
    </xf>
    <xf numFmtId="166" fontId="6" fillId="0" borderId="0" xfId="2" applyNumberFormat="1" applyFont="1" applyFill="1" applyBorder="1"/>
    <xf numFmtId="167" fontId="8" fillId="0" borderId="0" xfId="2" applyNumberFormat="1" applyFont="1" applyFill="1" applyBorder="1" applyAlignment="1">
      <alignment horizontal="right"/>
    </xf>
    <xf numFmtId="167" fontId="9" fillId="0" borderId="0" xfId="2" applyNumberFormat="1" applyFont="1" applyFill="1" applyBorder="1"/>
    <xf numFmtId="0" fontId="8" fillId="0" borderId="0" xfId="2" applyFont="1" applyFill="1" applyBorder="1"/>
    <xf numFmtId="0" fontId="15" fillId="0" borderId="1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166" fontId="16" fillId="2" borderId="0" xfId="2" applyNumberFormat="1" applyFont="1" applyFill="1" applyBorder="1"/>
    <xf numFmtId="0" fontId="5" fillId="0" borderId="0" xfId="2" applyFont="1" applyFill="1" applyBorder="1" applyAlignment="1">
      <alignment horizontal="right"/>
    </xf>
    <xf numFmtId="0" fontId="4" fillId="0" borderId="0" xfId="2" applyFill="1" applyBorder="1" applyAlignment="1">
      <alignment horizontal="right"/>
    </xf>
    <xf numFmtId="0" fontId="6" fillId="0" borderId="0" xfId="2" applyFont="1" applyFill="1" applyBorder="1" applyAlignment="1">
      <alignment horizontal="right"/>
    </xf>
    <xf numFmtId="167" fontId="8" fillId="0" borderId="0" xfId="2" applyNumberFormat="1" applyFont="1" applyFill="1" applyBorder="1" applyAlignment="1">
      <alignment horizontal="right"/>
    </xf>
    <xf numFmtId="164" fontId="0" fillId="0" borderId="0" xfId="0" applyNumberFormat="1"/>
    <xf numFmtId="0" fontId="15" fillId="3" borderId="11" xfId="2" applyFont="1" applyFill="1" applyBorder="1"/>
    <xf numFmtId="165" fontId="15" fillId="3" borderId="11" xfId="2" applyNumberFormat="1" applyFont="1" applyFill="1" applyBorder="1"/>
    <xf numFmtId="0" fontId="15" fillId="2" borderId="0" xfId="2" applyFont="1" applyFill="1" applyBorder="1"/>
    <xf numFmtId="0" fontId="7" fillId="0" borderId="11" xfId="2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>
      <alignment horizontal="right"/>
    </xf>
    <xf numFmtId="0" fontId="7" fillId="0" borderId="11" xfId="2" applyFont="1" applyFill="1" applyBorder="1" applyAlignment="1" applyProtection="1">
      <alignment horizontal="center" vertical="center" wrapText="1"/>
    </xf>
    <xf numFmtId="0" fontId="7" fillId="0" borderId="11" xfId="2" applyFont="1" applyFill="1" applyBorder="1" applyAlignment="1" applyProtection="1">
      <alignment vertical="center"/>
    </xf>
    <xf numFmtId="167" fontId="7" fillId="0" borderId="11" xfId="2" applyNumberFormat="1" applyFont="1" applyFill="1" applyBorder="1" applyAlignment="1" applyProtection="1">
      <alignment vertical="center"/>
    </xf>
    <xf numFmtId="0" fontId="11" fillId="0" borderId="11" xfId="2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right"/>
    </xf>
    <xf numFmtId="0" fontId="10" fillId="0" borderId="0" xfId="2" applyFont="1" applyFill="1" applyBorder="1" applyAlignment="1">
      <alignment horizontal="right"/>
    </xf>
    <xf numFmtId="0" fontId="13" fillId="0" borderId="0" xfId="2" applyFont="1" applyFill="1" applyBorder="1" applyAlignment="1" applyProtection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8" xfId="2" applyNumberFormat="1" applyFont="1" applyFill="1" applyBorder="1" applyAlignment="1">
      <alignment horizontal="center"/>
    </xf>
    <xf numFmtId="166" fontId="14" fillId="4" borderId="9" xfId="2" applyNumberFormat="1" applyFont="1" applyFill="1" applyBorder="1" applyAlignment="1">
      <alignment horizontal="center"/>
    </xf>
    <xf numFmtId="0" fontId="0" fillId="0" borderId="0" xfId="0"/>
    <xf numFmtId="0" fontId="0" fillId="0" borderId="3" xfId="0" applyBorder="1"/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/>
    <xf numFmtId="0" fontId="4" fillId="0" borderId="0" xfId="2" applyFill="1" applyBorder="1"/>
    <xf numFmtId="0" fontId="4" fillId="0" borderId="1" xfId="2" applyFill="1" applyBorder="1"/>
    <xf numFmtId="165" fontId="4" fillId="3" borderId="11" xfId="2" applyNumberFormat="1" applyFill="1" applyBorder="1"/>
    <xf numFmtId="0" fontId="7" fillId="0" borderId="0" xfId="2" applyFont="1" applyFill="1" applyBorder="1"/>
    <xf numFmtId="0" fontId="4" fillId="3" borderId="11" xfId="2" applyFill="1" applyBorder="1"/>
    <xf numFmtId="167" fontId="9" fillId="0" borderId="0" xfId="2" applyNumberFormat="1" applyFont="1" applyFill="1" applyBorder="1"/>
    <xf numFmtId="0" fontId="8" fillId="0" borderId="0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0" fontId="4" fillId="0" borderId="23" xfId="2" applyFill="1" applyBorder="1"/>
    <xf numFmtId="0" fontId="15" fillId="2" borderId="24" xfId="2" applyFont="1" applyFill="1" applyBorder="1"/>
    <xf numFmtId="1" fontId="0" fillId="0" borderId="23" xfId="1" applyNumberFormat="1" applyFont="1" applyBorder="1"/>
    <xf numFmtId="1" fontId="2" fillId="2" borderId="0" xfId="0" applyNumberFormat="1" applyFont="1" applyFill="1" applyBorder="1"/>
    <xf numFmtId="1" fontId="0" fillId="0" borderId="0" xfId="1" applyNumberFormat="1" applyFont="1" applyBorder="1"/>
    <xf numFmtId="164" fontId="0" fillId="0" borderId="15" xfId="0" applyNumberFormat="1" applyBorder="1"/>
    <xf numFmtId="164" fontId="2" fillId="0" borderId="3" xfId="0" applyNumberFormat="1" applyFont="1" applyBorder="1"/>
    <xf numFmtId="164" fontId="0" fillId="0" borderId="3" xfId="0" applyNumberFormat="1" applyBorder="1"/>
    <xf numFmtId="164" fontId="2" fillId="0" borderId="12" xfId="0" applyNumberFormat="1" applyFont="1" applyBorder="1"/>
    <xf numFmtId="167" fontId="18" fillId="0" borderId="3" xfId="2" applyNumberFormat="1" applyFont="1" applyFill="1" applyBorder="1"/>
    <xf numFmtId="166" fontId="14" fillId="5" borderId="16" xfId="2" applyNumberFormat="1" applyFont="1" applyFill="1" applyBorder="1" applyAlignment="1">
      <alignment horizontal="center"/>
    </xf>
    <xf numFmtId="166" fontId="14" fillId="5" borderId="11" xfId="2" applyNumberFormat="1" applyFont="1" applyFill="1" applyBorder="1" applyAlignment="1">
      <alignment horizontal="center"/>
    </xf>
    <xf numFmtId="166" fontId="14" fillId="5" borderId="17" xfId="2" applyNumberFormat="1" applyFont="1" applyFill="1" applyBorder="1" applyAlignment="1">
      <alignment horizontal="center"/>
    </xf>
    <xf numFmtId="166" fontId="0" fillId="0" borderId="0" xfId="0" applyNumberFormat="1"/>
    <xf numFmtId="166" fontId="16" fillId="2" borderId="19" xfId="3" applyNumberFormat="1" applyFont="1" applyFill="1" applyBorder="1" applyProtection="1"/>
    <xf numFmtId="166" fontId="6" fillId="0" borderId="0" xfId="2" applyNumberFormat="1" applyFont="1" applyFill="1" applyBorder="1"/>
    <xf numFmtId="166" fontId="14" fillId="4" borderId="10" xfId="2" applyNumberFormat="1" applyFont="1" applyFill="1" applyBorder="1" applyAlignment="1">
      <alignment horizontal="center"/>
    </xf>
    <xf numFmtId="0" fontId="0" fillId="0" borderId="0" xfId="0"/>
    <xf numFmtId="166" fontId="14" fillId="4" borderId="2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right"/>
    </xf>
    <xf numFmtId="0" fontId="4" fillId="0" borderId="0" xfId="2" applyFill="1" applyBorder="1"/>
    <xf numFmtId="0" fontId="5" fillId="0" borderId="1" xfId="2" applyFont="1" applyFill="1" applyBorder="1" applyAlignment="1">
      <alignment horizontal="right"/>
    </xf>
    <xf numFmtId="0" fontId="4" fillId="0" borderId="1" xfId="2" applyFill="1" applyBorder="1"/>
    <xf numFmtId="0" fontId="4" fillId="0" borderId="0" xfId="2" applyFill="1" applyBorder="1" applyAlignment="1">
      <alignment horizontal="right"/>
    </xf>
    <xf numFmtId="165" fontId="4" fillId="3" borderId="11" xfId="2" applyNumberFormat="1" applyFill="1" applyBorder="1"/>
    <xf numFmtId="0" fontId="7" fillId="0" borderId="0" xfId="2" applyFont="1" applyFill="1" applyBorder="1"/>
    <xf numFmtId="0" fontId="4" fillId="3" borderId="11" xfId="2" applyFill="1" applyBorder="1"/>
    <xf numFmtId="0" fontId="6" fillId="0" borderId="0" xfId="2" applyFont="1" applyFill="1" applyBorder="1" applyAlignment="1">
      <alignment horizontal="right"/>
    </xf>
    <xf numFmtId="166" fontId="6" fillId="0" borderId="0" xfId="2" applyNumberFormat="1" applyFont="1" applyFill="1" applyBorder="1"/>
    <xf numFmtId="167" fontId="8" fillId="0" borderId="0" xfId="2" applyNumberFormat="1" applyFont="1" applyFill="1" applyBorder="1" applyAlignment="1">
      <alignment horizontal="right"/>
    </xf>
    <xf numFmtId="167" fontId="9" fillId="0" borderId="0" xfId="2" applyNumberFormat="1" applyFont="1" applyFill="1" applyBorder="1"/>
    <xf numFmtId="0" fontId="8" fillId="0" borderId="0" xfId="2" applyFont="1" applyFill="1" applyBorder="1"/>
    <xf numFmtId="166" fontId="4" fillId="0" borderId="16" xfId="2" applyNumberFormat="1" applyFont="1" applyFill="1" applyBorder="1" applyAlignment="1">
      <alignment horizontal="center"/>
    </xf>
    <xf numFmtId="166" fontId="4" fillId="0" borderId="11" xfId="2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6" xfId="2" applyNumberFormat="1" applyFont="1" applyFill="1" applyBorder="1" applyAlignment="1"/>
    <xf numFmtId="0" fontId="15" fillId="0" borderId="1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166" fontId="16" fillId="2" borderId="0" xfId="2" applyNumberFormat="1" applyFont="1" applyFill="1" applyBorder="1"/>
    <xf numFmtId="0" fontId="0" fillId="0" borderId="3" xfId="0" applyBorder="1"/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0" fillId="0" borderId="0" xfId="2" applyFont="1" applyFill="1" applyBorder="1" applyAlignment="1">
      <alignment horizontal="right"/>
    </xf>
    <xf numFmtId="0" fontId="13" fillId="0" borderId="0" xfId="2" applyFont="1" applyFill="1" applyBorder="1" applyAlignment="1" applyProtection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6" xfId="2" applyNumberFormat="1" applyFont="1" applyFill="1" applyBorder="1" applyAlignment="1"/>
    <xf numFmtId="0" fontId="3" fillId="0" borderId="0" xfId="0" applyFont="1"/>
    <xf numFmtId="169" fontId="0" fillId="0" borderId="0" xfId="0" applyNumberFormat="1"/>
    <xf numFmtId="168" fontId="3" fillId="0" borderId="0" xfId="1" applyNumberFormat="1" applyFont="1"/>
    <xf numFmtId="168" fontId="3" fillId="0" borderId="0" xfId="1" applyNumberFormat="1" applyFont="1"/>
    <xf numFmtId="0" fontId="4" fillId="0" borderId="25" xfId="2" applyFont="1" applyFill="1" applyBorder="1" applyAlignment="1">
      <alignment horizontal="center" vertical="center"/>
    </xf>
    <xf numFmtId="0" fontId="4" fillId="0" borderId="2" xfId="2" applyFill="1" applyBorder="1" applyAlignment="1">
      <alignment horizontal="center" vertical="center"/>
    </xf>
    <xf numFmtId="0" fontId="0" fillId="0" borderId="26" xfId="0" applyBorder="1"/>
    <xf numFmtId="2" fontId="0" fillId="0" borderId="7" xfId="0" applyNumberFormat="1" applyBorder="1" applyAlignment="1">
      <alignment horizontal="center" vertical="center"/>
    </xf>
    <xf numFmtId="0" fontId="0" fillId="0" borderId="27" xfId="0" applyBorder="1"/>
    <xf numFmtId="2" fontId="0" fillId="0" borderId="28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17" fillId="2" borderId="0" xfId="2" applyNumberFormat="1" applyFont="1" applyFill="1" applyBorder="1"/>
    <xf numFmtId="0" fontId="0" fillId="0" borderId="11" xfId="0" applyBorder="1"/>
    <xf numFmtId="0" fontId="0" fillId="0" borderId="11" xfId="0" applyBorder="1" applyAlignment="1">
      <alignment horizontal="center" vertical="center" wrapText="1"/>
    </xf>
    <xf numFmtId="2" fontId="16" fillId="2" borderId="11" xfId="3" applyNumberFormat="1" applyFont="1" applyFill="1" applyBorder="1" applyProtection="1"/>
    <xf numFmtId="0" fontId="0" fillId="0" borderId="0" xfId="0" applyAlignment="1">
      <alignment horizontal="center" vertical="center"/>
    </xf>
    <xf numFmtId="166" fontId="14" fillId="4" borderId="11" xfId="2" applyNumberFormat="1" applyFont="1" applyFill="1" applyBorder="1" applyAlignment="1"/>
    <xf numFmtId="166" fontId="14" fillId="4" borderId="11" xfId="2" applyNumberFormat="1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164" fontId="0" fillId="0" borderId="11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166" fontId="14" fillId="5" borderId="13" xfId="2" applyNumberFormat="1" applyFont="1" applyFill="1" applyBorder="1" applyAlignment="1">
      <alignment horizontal="center"/>
    </xf>
    <xf numFmtId="166" fontId="16" fillId="2" borderId="29" xfId="3" applyNumberFormat="1" applyFont="1" applyFill="1" applyBorder="1" applyProtection="1"/>
    <xf numFmtId="2" fontId="16" fillId="2" borderId="11" xfId="3" applyNumberFormat="1" applyFont="1" applyFill="1" applyBorder="1" applyAlignment="1" applyProtection="1">
      <alignment horizontal="center" vertical="center"/>
    </xf>
    <xf numFmtId="2" fontId="16" fillId="2" borderId="9" xfId="3" applyNumberFormat="1" applyFont="1" applyFill="1" applyBorder="1" applyAlignment="1" applyProtection="1">
      <alignment horizontal="center" vertical="center"/>
    </xf>
    <xf numFmtId="167" fontId="16" fillId="2" borderId="11" xfId="3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6" fontId="16" fillId="2" borderId="19" xfId="2" applyNumberFormat="1" applyFont="1" applyFill="1" applyBorder="1"/>
    <xf numFmtId="166" fontId="16" fillId="2" borderId="32" xfId="2" applyNumberFormat="1" applyFont="1" applyFill="1" applyBorder="1"/>
    <xf numFmtId="166" fontId="16" fillId="2" borderId="33" xfId="2" applyNumberFormat="1" applyFont="1" applyFill="1" applyBorder="1"/>
    <xf numFmtId="1" fontId="19" fillId="2" borderId="32" xfId="0" applyNumberFormat="1" applyFont="1" applyFill="1" applyBorder="1" applyAlignment="1">
      <alignment horizontal="center" vertical="center"/>
    </xf>
    <xf numFmtId="1" fontId="19" fillId="2" borderId="33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0" fillId="0" borderId="25" xfId="0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7" xfId="0" applyBorder="1"/>
    <xf numFmtId="0" fontId="0" fillId="0" borderId="34" xfId="0" applyBorder="1"/>
    <xf numFmtId="168" fontId="3" fillId="0" borderId="0" xfId="1" applyNumberFormat="1" applyFont="1" applyBorder="1"/>
    <xf numFmtId="168" fontId="3" fillId="0" borderId="35" xfId="1" applyNumberFormat="1" applyFont="1" applyBorder="1"/>
    <xf numFmtId="0" fontId="0" fillId="0" borderId="35" xfId="0" applyBorder="1"/>
    <xf numFmtId="0" fontId="0" fillId="0" borderId="28" xfId="0" applyBorder="1"/>
    <xf numFmtId="0" fontId="4" fillId="0" borderId="25" xfId="8" applyFill="1" applyBorder="1"/>
    <xf numFmtId="0" fontId="5" fillId="0" borderId="1" xfId="8" applyFont="1" applyFill="1" applyBorder="1" applyAlignment="1">
      <alignment horizontal="right"/>
    </xf>
    <xf numFmtId="0" fontId="4" fillId="0" borderId="1" xfId="8" applyFill="1" applyBorder="1"/>
    <xf numFmtId="0" fontId="15" fillId="0" borderId="1" xfId="8" applyFont="1" applyFill="1" applyBorder="1"/>
    <xf numFmtId="0" fontId="7" fillId="0" borderId="1" xfId="8" applyFont="1" applyFill="1" applyBorder="1"/>
    <xf numFmtId="0" fontId="4" fillId="0" borderId="2" xfId="8" applyFill="1" applyBorder="1"/>
    <xf numFmtId="0" fontId="4" fillId="6" borderId="0" xfId="8" applyFill="1"/>
    <xf numFmtId="0" fontId="4" fillId="0" borderId="26" xfId="8" applyFill="1" applyBorder="1"/>
    <xf numFmtId="0" fontId="4" fillId="0" borderId="0" xfId="8" applyFill="1" applyBorder="1" applyAlignment="1">
      <alignment horizontal="right"/>
    </xf>
    <xf numFmtId="165" fontId="4" fillId="3" borderId="11" xfId="8" applyNumberFormat="1" applyFill="1" applyBorder="1"/>
    <xf numFmtId="165" fontId="15" fillId="0" borderId="11" xfId="8" applyNumberFormat="1" applyFont="1" applyFill="1" applyBorder="1"/>
    <xf numFmtId="0" fontId="7" fillId="0" borderId="0" xfId="8" applyFont="1" applyFill="1" applyBorder="1"/>
    <xf numFmtId="0" fontId="4" fillId="0" borderId="0" xfId="8" applyFill="1" applyBorder="1"/>
    <xf numFmtId="0" fontId="4" fillId="0" borderId="7" xfId="8" applyFill="1" applyBorder="1"/>
    <xf numFmtId="0" fontId="4" fillId="3" borderId="11" xfId="8" applyFill="1" applyBorder="1"/>
    <xf numFmtId="0" fontId="15" fillId="0" borderId="11" xfId="8" applyFont="1" applyFill="1" applyBorder="1"/>
    <xf numFmtId="0" fontId="7" fillId="0" borderId="0" xfId="8" applyFont="1" applyFill="1" applyBorder="1" applyAlignment="1">
      <alignment horizontal="right"/>
    </xf>
    <xf numFmtId="0" fontId="4" fillId="0" borderId="7" xfId="8" applyFill="1" applyBorder="1" applyAlignment="1">
      <alignment horizontal="left"/>
    </xf>
    <xf numFmtId="0" fontId="6" fillId="0" borderId="0" xfId="8" applyFont="1" applyFill="1" applyBorder="1" applyAlignment="1">
      <alignment horizontal="right"/>
    </xf>
    <xf numFmtId="166" fontId="6" fillId="0" borderId="0" xfId="8" applyNumberFormat="1" applyFont="1" applyFill="1" applyBorder="1"/>
    <xf numFmtId="166" fontId="16" fillId="2" borderId="0" xfId="8" applyNumberFormat="1" applyFont="1" applyFill="1" applyBorder="1"/>
    <xf numFmtId="167" fontId="8" fillId="0" borderId="0" xfId="8" applyNumberFormat="1" applyFont="1" applyFill="1" applyBorder="1" applyAlignment="1">
      <alignment horizontal="right"/>
    </xf>
    <xf numFmtId="167" fontId="9" fillId="0" borderId="0" xfId="8" applyNumberFormat="1" applyFont="1" applyFill="1" applyBorder="1"/>
    <xf numFmtId="167" fontId="17" fillId="2" borderId="0" xfId="8" applyNumberFormat="1" applyFont="1" applyFill="1" applyBorder="1"/>
    <xf numFmtId="0" fontId="8" fillId="0" borderId="0" xfId="8" applyFont="1" applyFill="1" applyBorder="1"/>
    <xf numFmtId="167" fontId="9" fillId="0" borderId="0" xfId="0" applyNumberFormat="1" applyFont="1" applyFill="1" applyBorder="1"/>
    <xf numFmtId="0" fontId="5" fillId="0" borderId="0" xfId="8" applyFont="1" applyFill="1" applyBorder="1" applyAlignment="1">
      <alignment horizontal="right"/>
    </xf>
    <xf numFmtId="0" fontId="15" fillId="0" borderId="0" xfId="8" applyFont="1" applyFill="1" applyBorder="1"/>
    <xf numFmtId="0" fontId="4" fillId="0" borderId="27" xfId="8" applyFill="1" applyBorder="1"/>
    <xf numFmtId="0" fontId="4" fillId="0" borderId="35" xfId="8" applyFill="1" applyBorder="1" applyProtection="1"/>
    <xf numFmtId="0" fontId="7" fillId="0" borderId="35" xfId="8" applyFont="1" applyFill="1" applyBorder="1"/>
    <xf numFmtId="0" fontId="4" fillId="0" borderId="28" xfId="8" applyFill="1" applyBorder="1"/>
    <xf numFmtId="0" fontId="7" fillId="6" borderId="0" xfId="8" applyFont="1" applyFill="1"/>
    <xf numFmtId="43" fontId="2" fillId="0" borderId="3" xfId="1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6" fontId="6" fillId="0" borderId="21" xfId="2" applyNumberFormat="1" applyFont="1" applyFill="1" applyBorder="1" applyAlignment="1">
      <alignment horizontal="center"/>
    </xf>
    <xf numFmtId="166" fontId="6" fillId="0" borderId="22" xfId="2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6" fontId="20" fillId="5" borderId="4" xfId="2" applyNumberFormat="1" applyFont="1" applyFill="1" applyBorder="1" applyAlignment="1">
      <alignment horizontal="center" vertical="center"/>
    </xf>
    <xf numFmtId="166" fontId="20" fillId="5" borderId="5" xfId="2" applyNumberFormat="1" applyFont="1" applyFill="1" applyBorder="1" applyAlignment="1">
      <alignment horizontal="center" vertical="center"/>
    </xf>
    <xf numFmtId="166" fontId="20" fillId="5" borderId="30" xfId="2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</cellXfs>
  <cellStyles count="9">
    <cellStyle name="Comma" xfId="1" builtinId="3"/>
    <cellStyle name="Comma 2" xfId="3"/>
    <cellStyle name="Normal" xfId="0" builtinId="0"/>
    <cellStyle name="Normal 2" xfId="5"/>
    <cellStyle name="Normal 3" xfId="6"/>
    <cellStyle name="Normal 3 2" xfId="8"/>
    <cellStyle name="Normal 4" xfId="7"/>
    <cellStyle name="Normal 5" xfId="2"/>
    <cellStyle name="Percent 2" xfId="4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pineda\Downloads\2013-2014_DHWFixtureMeasures_Disposition-1March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rrea\Documents\Open%20Projects\Innovation%20Now\Tub%20Spout\ShowerHead%20+%20Tub%20Spout%20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FaucetAerator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5.519494540397865</v>
          </cell>
          <cell r="D5">
            <v>6.1629954818874477</v>
          </cell>
        </row>
        <row r="6">
          <cell r="A6">
            <v>2</v>
          </cell>
          <cell r="B6" t="str">
            <v>Showerheads 1.6 gpm</v>
          </cell>
          <cell r="C6">
            <v>6.5230390022883835</v>
          </cell>
          <cell r="D6">
            <v>7.2835401149578907</v>
          </cell>
        </row>
        <row r="7">
          <cell r="A7">
            <v>3</v>
          </cell>
          <cell r="B7" t="str">
            <v>Showerheads 1.5 gpm</v>
          </cell>
          <cell r="C7">
            <v>7.5265834641789056</v>
          </cell>
          <cell r="D7">
            <v>8.4040847480283372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9.566973869803503</v>
          </cell>
          <cell r="D9">
            <v>10.579623593423339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16.410015666668741</v>
          </cell>
          <cell r="D14">
            <v>15.062721252057024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122.06947773107352</v>
          </cell>
          <cell r="D5">
            <v>1.2262687260655788E-2</v>
          </cell>
          <cell r="E5">
            <v>136.30118378171946</v>
          </cell>
          <cell r="F5">
            <v>1.3692356361633918E-2</v>
          </cell>
        </row>
        <row r="6">
          <cell r="A6">
            <v>12</v>
          </cell>
          <cell r="B6" t="str">
            <v>Showerheads 1.6 gpm</v>
          </cell>
          <cell r="C6">
            <v>144.26392822763228</v>
          </cell>
          <cell r="D6">
            <v>1.4492266762593195E-2</v>
          </cell>
          <cell r="E6">
            <v>161.08321719657749</v>
          </cell>
          <cell r="F6">
            <v>1.6181875700112806E-2</v>
          </cell>
        </row>
        <row r="7">
          <cell r="A7">
            <v>13</v>
          </cell>
          <cell r="B7" t="str">
            <v>Showerheads 1.5 gpm</v>
          </cell>
          <cell r="C7">
            <v>166.45837872419114</v>
          </cell>
          <cell r="D7">
            <v>1.6721846264530618E-2</v>
          </cell>
          <cell r="E7">
            <v>185.86525061143561</v>
          </cell>
          <cell r="F7">
            <v>1.8671395038591707E-2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189.38932682330406</v>
          </cell>
          <cell r="D9">
            <v>1.9025411826998583E-2</v>
          </cell>
          <cell r="E9">
            <v>211.18145723037628</v>
          </cell>
          <cell r="F9">
            <v>2.1214575612183918E-2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377.88932409428099</v>
          </cell>
          <cell r="D14">
            <v>3.7961484612210876E-2</v>
          </cell>
          <cell r="E14">
            <v>346.86387073485861</v>
          </cell>
          <cell r="F14">
            <v>3.4844772402588535E-2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2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FaucetAerator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7.355119566333836</v>
          </cell>
          <cell r="D5">
            <v>8.2126304294385637</v>
          </cell>
        </row>
        <row r="6">
          <cell r="A6">
            <v>2</v>
          </cell>
          <cell r="B6" t="str">
            <v>Showerheads 1.6 gpm</v>
          </cell>
          <cell r="C6">
            <v>8.6924140329399879</v>
          </cell>
          <cell r="D6">
            <v>9.7058359620637535</v>
          </cell>
        </row>
        <row r="7">
          <cell r="A7">
            <v>3</v>
          </cell>
          <cell r="B7" t="str">
            <v>Showerheads 1.5 gpm</v>
          </cell>
          <cell r="C7">
            <v>10.029708499546143</v>
          </cell>
          <cell r="D7">
            <v>11.199041494688949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12.07009890517074</v>
          </cell>
          <cell r="D9">
            <v>13.374580340083948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18.913140702035975</v>
          </cell>
          <cell r="D14">
            <v>17.857677998717634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162.66627270678526</v>
          </cell>
          <cell r="D5">
            <v>1.6340904107530942E-2</v>
          </cell>
          <cell r="E5">
            <v>181.63103523019754</v>
          </cell>
          <cell r="F5">
            <v>1.8246040068786967E-2</v>
          </cell>
        </row>
        <row r="6">
          <cell r="A6">
            <v>12</v>
          </cell>
          <cell r="B6" t="str">
            <v>Showerheads 1.6 gpm</v>
          </cell>
          <cell r="C6">
            <v>192.24195865347346</v>
          </cell>
          <cell r="D6">
            <v>1.9311977581627469E-2</v>
          </cell>
          <cell r="E6">
            <v>214.65485981750609</v>
          </cell>
          <cell r="F6">
            <v>2.1563501899475496E-2</v>
          </cell>
        </row>
        <row r="7">
          <cell r="A7">
            <v>13</v>
          </cell>
          <cell r="B7" t="str">
            <v>Showerheads 1.5 gpm</v>
          </cell>
          <cell r="C7">
            <v>221.81764460016174</v>
          </cell>
          <cell r="D7">
            <v>2.228305105572401E-2</v>
          </cell>
          <cell r="E7">
            <v>247.67868440481479</v>
          </cell>
          <cell r="F7">
            <v>2.4880963730164043E-2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237.36735724914524</v>
          </cell>
          <cell r="D9">
            <v>2.3845122646032859E-2</v>
          </cell>
          <cell r="E9">
            <v>264.75309985130491</v>
          </cell>
          <cell r="F9">
            <v>2.6596201811546611E-2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435.53120859654103</v>
          </cell>
          <cell r="D14">
            <v>4.3751993557643393E-2</v>
          </cell>
          <cell r="E14">
            <v>411.2260466963113</v>
          </cell>
          <cell r="F14">
            <v>4.1310379120177383E-2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>
        <row r="23">
          <cell r="D23">
            <v>23.34</v>
          </cell>
        </row>
      </sheetData>
      <sheetData sheetId="8" refreshError="1"/>
      <sheetData sheetId="9" refreshError="1"/>
      <sheetData sheetId="10" refreshError="1"/>
      <sheetData sheetId="11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2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12">
          <cell r="AN212">
            <v>86.110344827586189</v>
          </cell>
        </row>
      </sheetData>
      <sheetData sheetId="19">
        <row r="258">
          <cell r="BK258">
            <v>43.988349514563119</v>
          </cell>
        </row>
      </sheetData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opLeftCell="A19" zoomScale="85" zoomScaleNormal="85" workbookViewId="0">
      <selection activeCell="J50" sqref="J50"/>
    </sheetView>
  </sheetViews>
  <sheetFormatPr defaultRowHeight="14.4" x14ac:dyDescent="0.3"/>
  <cols>
    <col min="2" max="2" width="41.88671875" bestFit="1" customWidth="1"/>
    <col min="3" max="3" width="10.6640625" bestFit="1" customWidth="1"/>
    <col min="4" max="4" width="18.88671875" bestFit="1" customWidth="1"/>
    <col min="5" max="5" width="10.6640625" bestFit="1" customWidth="1"/>
    <col min="6" max="6" width="18.88671875" bestFit="1" customWidth="1"/>
    <col min="7" max="7" width="21" bestFit="1" customWidth="1"/>
    <col min="8" max="8" width="22.6640625" bestFit="1" customWidth="1"/>
    <col min="9" max="9" width="16.6640625" bestFit="1" customWidth="1"/>
    <col min="10" max="10" width="17.33203125" customWidth="1"/>
    <col min="11" max="12" width="19.33203125" bestFit="1" customWidth="1"/>
    <col min="13" max="13" width="12.44140625" customWidth="1"/>
    <col min="14" max="14" width="19.33203125" bestFit="1" customWidth="1"/>
    <col min="15" max="17" width="9.5546875" bestFit="1" customWidth="1"/>
  </cols>
  <sheetData>
    <row r="1" spans="2:25" ht="16.2" thickBot="1" x14ac:dyDescent="0.35">
      <c r="B1" s="81" t="s">
        <v>0</v>
      </c>
      <c r="C1" s="82" t="s">
        <v>1</v>
      </c>
      <c r="D1" s="98" t="s">
        <v>98</v>
      </c>
      <c r="E1" s="82" t="s">
        <v>4</v>
      </c>
      <c r="F1" s="98" t="s">
        <v>99</v>
      </c>
      <c r="G1" s="82"/>
      <c r="H1" s="117" t="s">
        <v>39</v>
      </c>
      <c r="I1" s="118" t="s">
        <v>39</v>
      </c>
    </row>
    <row r="2" spans="2:25" x14ac:dyDescent="0.3">
      <c r="B2" s="83" t="s">
        <v>8</v>
      </c>
      <c r="C2" s="84">
        <v>2.5</v>
      </c>
      <c r="D2" s="99">
        <v>2.5</v>
      </c>
      <c r="E2" s="84">
        <v>2.5</v>
      </c>
      <c r="F2" s="99">
        <v>2.5</v>
      </c>
      <c r="G2" s="85" t="s">
        <v>9</v>
      </c>
      <c r="H2" s="119" t="s">
        <v>103</v>
      </c>
      <c r="I2" s="120">
        <f>+((D9*D6)/(D4*D6))</f>
        <v>11.154918359219435</v>
      </c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2:25" ht="15" thickBot="1" x14ac:dyDescent="0.35">
      <c r="B3" s="83" t="s">
        <v>11</v>
      </c>
      <c r="C3" s="86">
        <v>7.4</v>
      </c>
      <c r="D3" s="99">
        <f t="shared" ref="D3:D7" si="0">C3</f>
        <v>7.4</v>
      </c>
      <c r="E3" s="86">
        <v>7.4</v>
      </c>
      <c r="F3" s="99">
        <f t="shared" ref="F3:F7" si="1">E3</f>
        <v>7.4</v>
      </c>
      <c r="G3" s="85" t="s">
        <v>12</v>
      </c>
      <c r="H3" s="121" t="s">
        <v>104</v>
      </c>
      <c r="I3" s="122">
        <f>+D4/D7</f>
        <v>1.3880597014925375</v>
      </c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2:25" ht="15" thickBot="1" x14ac:dyDescent="0.35">
      <c r="B4" s="83" t="s">
        <v>13</v>
      </c>
      <c r="C4" s="86">
        <v>2.79</v>
      </c>
      <c r="D4" s="99">
        <f t="shared" si="0"/>
        <v>2.79</v>
      </c>
      <c r="E4" s="86">
        <v>2.2200000000000002</v>
      </c>
      <c r="F4" s="99">
        <f t="shared" si="1"/>
        <v>2.2200000000000002</v>
      </c>
      <c r="G4" s="85" t="s">
        <v>14</v>
      </c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2:25" x14ac:dyDescent="0.3">
      <c r="B5" s="83" t="s">
        <v>16</v>
      </c>
      <c r="C5" s="86">
        <v>0.9</v>
      </c>
      <c r="D5" s="99">
        <f t="shared" si="0"/>
        <v>0.9</v>
      </c>
      <c r="E5" s="86">
        <v>0.9</v>
      </c>
      <c r="F5" s="99">
        <f t="shared" si="1"/>
        <v>0.9</v>
      </c>
      <c r="G5" s="85" t="s">
        <v>17</v>
      </c>
      <c r="H5" s="123" t="s">
        <v>97</v>
      </c>
      <c r="I5" s="124" t="s">
        <v>97</v>
      </c>
      <c r="P5" s="119" t="s">
        <v>75</v>
      </c>
      <c r="Q5" s="163">
        <v>51.364580033093063</v>
      </c>
      <c r="R5" s="160"/>
      <c r="S5" s="160"/>
      <c r="T5" s="160"/>
      <c r="U5" s="160" t="s">
        <v>75</v>
      </c>
      <c r="V5" s="163">
        <v>51.364579838397091</v>
      </c>
      <c r="W5" s="160"/>
      <c r="X5" s="160"/>
      <c r="Y5" s="161"/>
    </row>
    <row r="6" spans="2:25" x14ac:dyDescent="0.3">
      <c r="B6" s="83" t="s">
        <v>19</v>
      </c>
      <c r="C6" s="86">
        <v>365</v>
      </c>
      <c r="D6" s="99">
        <f t="shared" si="0"/>
        <v>365</v>
      </c>
      <c r="E6" s="86">
        <v>365</v>
      </c>
      <c r="F6" s="99">
        <f t="shared" si="1"/>
        <v>365</v>
      </c>
      <c r="G6" s="85" t="s">
        <v>19</v>
      </c>
      <c r="H6" s="119" t="s">
        <v>103</v>
      </c>
      <c r="I6" s="120">
        <f>+((F9*F6)/(F4*F6))</f>
        <v>11.681681681681683</v>
      </c>
      <c r="K6" s="130"/>
      <c r="L6" s="130"/>
      <c r="P6" s="119" t="s">
        <v>76</v>
      </c>
      <c r="Q6" s="163">
        <v>57.228777954220476</v>
      </c>
      <c r="R6" s="160"/>
      <c r="S6" s="160"/>
      <c r="T6" s="160"/>
      <c r="U6" s="160" t="s">
        <v>76</v>
      </c>
      <c r="V6" s="163">
        <v>57.240346585140493</v>
      </c>
      <c r="W6" s="160"/>
      <c r="X6" s="160"/>
      <c r="Y6" s="161"/>
    </row>
    <row r="7" spans="2:25" ht="15" thickBot="1" x14ac:dyDescent="0.35">
      <c r="B7" s="83" t="s">
        <v>21</v>
      </c>
      <c r="C7" s="84">
        <v>2.0099999999999998</v>
      </c>
      <c r="D7" s="99">
        <f t="shared" si="0"/>
        <v>2.0099999999999998</v>
      </c>
      <c r="E7" s="84">
        <v>1.5</v>
      </c>
      <c r="F7" s="99">
        <f t="shared" si="1"/>
        <v>1.5</v>
      </c>
      <c r="G7" s="85" t="s">
        <v>22</v>
      </c>
      <c r="H7" s="121" t="s">
        <v>104</v>
      </c>
      <c r="I7" s="125">
        <f>+F4/F7</f>
        <v>1.4800000000000002</v>
      </c>
      <c r="P7" s="119" t="s">
        <v>77</v>
      </c>
      <c r="Q7" s="163">
        <v>57.018636140670921</v>
      </c>
      <c r="R7" s="160"/>
      <c r="S7" s="160"/>
      <c r="T7" s="160"/>
      <c r="U7" s="160" t="s">
        <v>77</v>
      </c>
      <c r="V7" s="163">
        <v>57.025386970741906</v>
      </c>
      <c r="W7" s="160"/>
      <c r="X7" s="160"/>
      <c r="Y7" s="161"/>
    </row>
    <row r="8" spans="2:25" x14ac:dyDescent="0.3">
      <c r="B8" s="87" t="s">
        <v>23</v>
      </c>
      <c r="C8" s="88">
        <f>+C2*C3*C4*C5*C6/C7</f>
        <v>8435.5858208955233</v>
      </c>
      <c r="D8" s="101">
        <f>D9*D6/D7</f>
        <v>5651.5478164731903</v>
      </c>
      <c r="E8" s="88">
        <f>+E2*E3*E4*E5*E6/E7</f>
        <v>8994.33</v>
      </c>
      <c r="F8" s="101">
        <f>F9*F6/F7</f>
        <v>6310.4444444444453</v>
      </c>
      <c r="G8" s="85" t="s">
        <v>24</v>
      </c>
      <c r="P8" s="119" t="s">
        <v>78</v>
      </c>
      <c r="Q8" s="163">
        <v>59.433606267155675</v>
      </c>
      <c r="R8" s="160"/>
      <c r="S8" s="160"/>
      <c r="T8" s="160"/>
      <c r="U8" s="160" t="s">
        <v>78</v>
      </c>
      <c r="V8" s="163">
        <v>59.446971323303444</v>
      </c>
      <c r="W8" s="160"/>
      <c r="X8" s="160"/>
      <c r="Y8" s="161"/>
    </row>
    <row r="9" spans="2:25" x14ac:dyDescent="0.3">
      <c r="B9" s="89" t="s">
        <v>25</v>
      </c>
      <c r="C9" s="90">
        <f>+C8/365*C7</f>
        <v>46.453499999999998</v>
      </c>
      <c r="D9" s="126">
        <f>VLOOKUP(D2,'Mixed Daily Water Calculator'!$C$26:$G$34,2,FALSE)</f>
        <v>31.122222222222224</v>
      </c>
      <c r="E9" s="90">
        <f>+E8/365*E7</f>
        <v>36.963000000000001</v>
      </c>
      <c r="F9" s="126">
        <f>VLOOKUP(F2,'Mixed Daily Water Calculator'!$C$26:$G$34,3,FALSE)</f>
        <v>25.933333333333337</v>
      </c>
      <c r="G9" s="91" t="s">
        <v>26</v>
      </c>
      <c r="P9" s="119" t="s">
        <v>79</v>
      </c>
      <c r="Q9" s="163">
        <v>55.809222967055064</v>
      </c>
      <c r="R9" s="160"/>
      <c r="S9" s="160"/>
      <c r="T9" s="160"/>
      <c r="U9" s="160" t="s">
        <v>79</v>
      </c>
      <c r="V9" s="163">
        <v>55.811012205659971</v>
      </c>
      <c r="W9" s="160"/>
      <c r="X9" s="160"/>
      <c r="Y9" s="161"/>
    </row>
    <row r="10" spans="2:25" x14ac:dyDescent="0.3">
      <c r="B10" s="89" t="s">
        <v>27</v>
      </c>
      <c r="C10" s="90">
        <f>0.63*C9</f>
        <v>29.265705000000001</v>
      </c>
      <c r="D10" s="90">
        <f>0.63*D9</f>
        <v>19.606999999999999</v>
      </c>
      <c r="E10" s="90">
        <f>0.63*E9</f>
        <v>23.28669</v>
      </c>
      <c r="F10" s="90">
        <v>14.7042</v>
      </c>
      <c r="G10" s="80"/>
      <c r="P10" s="119" t="s">
        <v>80</v>
      </c>
      <c r="Q10" s="163">
        <v>61.7076407235907</v>
      </c>
      <c r="R10" s="160"/>
      <c r="S10" s="160"/>
      <c r="T10" s="160"/>
      <c r="U10" s="160" t="s">
        <v>80</v>
      </c>
      <c r="V10" s="163">
        <v>61.68370554987515</v>
      </c>
      <c r="W10" s="160"/>
      <c r="X10" s="160"/>
      <c r="Y10" s="161"/>
    </row>
    <row r="11" spans="2:25" x14ac:dyDescent="0.3">
      <c r="B11" s="77"/>
      <c r="C11" s="204" t="s">
        <v>39</v>
      </c>
      <c r="D11" s="205"/>
      <c r="E11" s="205"/>
      <c r="F11" s="205"/>
      <c r="G11" s="205"/>
      <c r="H11" s="206"/>
      <c r="I11" s="204" t="s">
        <v>97</v>
      </c>
      <c r="J11" s="205"/>
      <c r="K11" s="205"/>
      <c r="L11" s="205"/>
      <c r="M11" s="205"/>
      <c r="N11" s="206"/>
      <c r="P11" s="119" t="s">
        <v>81</v>
      </c>
      <c r="Q11" s="163">
        <v>62.517801492421739</v>
      </c>
      <c r="R11" s="160"/>
      <c r="S11" s="160"/>
      <c r="T11" s="160"/>
      <c r="U11" s="160" t="s">
        <v>81</v>
      </c>
      <c r="V11" s="163">
        <v>62.501128205617022</v>
      </c>
      <c r="W11" s="160"/>
      <c r="X11" s="160"/>
      <c r="Y11" s="161"/>
    </row>
    <row r="12" spans="2:25" ht="15.6" x14ac:dyDescent="0.3"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63.681662908441318</v>
      </c>
      <c r="R12" s="160"/>
      <c r="S12" s="160"/>
      <c r="T12" s="160"/>
      <c r="U12" s="160" t="s">
        <v>82</v>
      </c>
      <c r="V12" s="163">
        <v>63.651491960266462</v>
      </c>
      <c r="W12" s="160"/>
      <c r="X12" s="160"/>
      <c r="Y12" s="161"/>
    </row>
    <row r="13" spans="2:25" x14ac:dyDescent="0.3">
      <c r="B13" s="83" t="s">
        <v>29</v>
      </c>
      <c r="C13" s="86">
        <v>1.5</v>
      </c>
      <c r="D13" s="27">
        <v>1.5</v>
      </c>
      <c r="E13" s="86">
        <v>1.6</v>
      </c>
      <c r="F13" s="86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63.73642626526626</v>
      </c>
      <c r="R13" s="160"/>
      <c r="S13" s="160"/>
      <c r="T13" s="160"/>
      <c r="U13" s="160" t="s">
        <v>83</v>
      </c>
      <c r="V13" s="163">
        <v>63.692705330407165</v>
      </c>
      <c r="W13" s="160"/>
      <c r="X13" s="160"/>
      <c r="Y13" s="161"/>
    </row>
    <row r="14" spans="2:25" x14ac:dyDescent="0.3">
      <c r="B14" s="83" t="s">
        <v>11</v>
      </c>
      <c r="C14" s="86">
        <v>7.4</v>
      </c>
      <c r="D14" s="27">
        <v>7.4</v>
      </c>
      <c r="E14" s="86">
        <v>7.4</v>
      </c>
      <c r="F14" s="86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64.034278419031239</v>
      </c>
      <c r="R14" s="160"/>
      <c r="S14" s="160"/>
      <c r="T14" s="160"/>
      <c r="U14" s="160" t="s">
        <v>84</v>
      </c>
      <c r="V14" s="163">
        <v>63.973565204496744</v>
      </c>
      <c r="W14" s="160"/>
      <c r="X14" s="160"/>
      <c r="Y14" s="161"/>
    </row>
    <row r="15" spans="2:25" x14ac:dyDescent="0.3">
      <c r="B15" s="83" t="s">
        <v>13</v>
      </c>
      <c r="C15" s="86">
        <v>2.79</v>
      </c>
      <c r="D15" s="27">
        <v>2.79</v>
      </c>
      <c r="E15" s="86">
        <v>2.79</v>
      </c>
      <c r="F15" s="86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62.849596632185438</v>
      </c>
      <c r="R15" s="160"/>
      <c r="S15" s="160"/>
      <c r="T15" s="160"/>
      <c r="U15" s="160" t="s">
        <v>85</v>
      </c>
      <c r="V15" s="163">
        <v>62.668964059914224</v>
      </c>
      <c r="W15" s="160"/>
      <c r="X15" s="160"/>
      <c r="Y15" s="161"/>
    </row>
    <row r="16" spans="2:25" x14ac:dyDescent="0.3">
      <c r="B16" s="83" t="s">
        <v>16</v>
      </c>
      <c r="C16" s="86">
        <v>0.9</v>
      </c>
      <c r="D16" s="27">
        <v>0.9</v>
      </c>
      <c r="E16" s="86">
        <v>0.9</v>
      </c>
      <c r="F16" s="86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60.724166599055522</v>
      </c>
      <c r="R16" s="160"/>
      <c r="S16" s="160"/>
      <c r="T16" s="160"/>
      <c r="U16" s="160" t="s">
        <v>86</v>
      </c>
      <c r="V16" s="163">
        <v>60.642275665907654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86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63.766558078981539</v>
      </c>
      <c r="R17" s="160"/>
      <c r="S17" s="160"/>
      <c r="T17" s="160"/>
      <c r="U17" s="160" t="s">
        <v>87</v>
      </c>
      <c r="V17" s="163">
        <v>63.590028903564424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84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62.32370084693008</v>
      </c>
      <c r="R18" s="160"/>
      <c r="S18" s="160"/>
      <c r="T18" s="160"/>
      <c r="U18" s="160" t="s">
        <v>88</v>
      </c>
      <c r="V18" s="163">
        <v>62.143215667633648</v>
      </c>
      <c r="W18" s="160"/>
      <c r="X18" s="160"/>
      <c r="Y18" s="161"/>
    </row>
    <row r="19" spans="1:25" ht="15" x14ac:dyDescent="0.25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74.941209465709022</v>
      </c>
      <c r="R19" s="160"/>
      <c r="S19" s="160"/>
      <c r="T19" s="160"/>
      <c r="U19" s="160" t="s">
        <v>89</v>
      </c>
      <c r="V19" s="163">
        <v>74.623517944029075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200">
        <f>C20*$D$9/$C$9</f>
        <v>18.673333333333336</v>
      </c>
      <c r="E20" s="67">
        <f>E19/365*E18</f>
        <v>29.730240000000002</v>
      </c>
      <c r="F20" s="200">
        <f>E20*$D$9/$C$9</f>
        <v>19.918222222222223</v>
      </c>
      <c r="G20" s="67">
        <f>G19/365*G18</f>
        <v>31.588380000000001</v>
      </c>
      <c r="H20" s="200">
        <f>G20*$D$9/$C$9</f>
        <v>21.163111111111114</v>
      </c>
      <c r="I20" s="65">
        <f>I19/365*I18</f>
        <v>22.177800000000005</v>
      </c>
      <c r="J20" s="200">
        <f>I20*$F$9/$E$9</f>
        <v>15.560000000000006</v>
      </c>
      <c r="K20" s="67">
        <f>K19/365*K18</f>
        <v>23.656320000000004</v>
      </c>
      <c r="L20" s="200">
        <f>K20*$F$9/$E$9</f>
        <v>16.597333333333339</v>
      </c>
      <c r="M20" s="67">
        <f>M19/365*M18</f>
        <v>25.134840000000001</v>
      </c>
      <c r="N20" s="200">
        <f>M20*$F$9/$E$9</f>
        <v>17.634666666666671</v>
      </c>
      <c r="P20" s="121" t="s">
        <v>90</v>
      </c>
      <c r="Q20" s="164">
        <v>51.571642274845871</v>
      </c>
      <c r="R20" s="165"/>
      <c r="S20" s="165"/>
      <c r="T20" s="165"/>
      <c r="U20" s="165" t="s">
        <v>90</v>
      </c>
      <c r="V20" s="164">
        <v>51.484403512281048</v>
      </c>
      <c r="W20" s="165"/>
      <c r="X20" s="165"/>
      <c r="Y20" s="166"/>
    </row>
    <row r="21" spans="1:25" ht="15" thickBot="1" x14ac:dyDescent="0.35"/>
    <row r="22" spans="1:25" x14ac:dyDescent="0.3">
      <c r="A22" s="114"/>
      <c r="B22" s="77"/>
      <c r="C22" s="207" t="s">
        <v>114</v>
      </c>
      <c r="D22" s="208"/>
      <c r="E22" s="208"/>
      <c r="F22" s="211" t="s">
        <v>115</v>
      </c>
      <c r="G22" s="212"/>
      <c r="H22" s="213"/>
      <c r="I22" s="209" t="s">
        <v>114</v>
      </c>
      <c r="J22" s="209"/>
      <c r="K22" s="209" t="s">
        <v>115</v>
      </c>
      <c r="L22" s="210"/>
    </row>
    <row r="23" spans="1:25" x14ac:dyDescent="0.3">
      <c r="B23" s="77"/>
      <c r="C23" s="92" t="s">
        <v>40</v>
      </c>
      <c r="D23" s="93" t="s">
        <v>41</v>
      </c>
      <c r="E23" s="93" t="s">
        <v>42</v>
      </c>
      <c r="F23" s="70" t="s">
        <v>56</v>
      </c>
      <c r="G23" s="71" t="s">
        <v>57</v>
      </c>
      <c r="H23" s="137" t="s">
        <v>58</v>
      </c>
      <c r="I23" s="142">
        <v>1.25</v>
      </c>
      <c r="J23" s="134">
        <v>1</v>
      </c>
      <c r="K23" s="142">
        <v>1.25</v>
      </c>
      <c r="L23" s="143">
        <v>1</v>
      </c>
    </row>
    <row r="24" spans="1:25" ht="15" thickBot="1" x14ac:dyDescent="0.35">
      <c r="B24" s="94" t="s">
        <v>100</v>
      </c>
      <c r="C24" s="144">
        <f>D8-D19</f>
        <v>2260.6191265892767</v>
      </c>
      <c r="D24" s="145">
        <f>D8-F19</f>
        <v>2034.5572139303486</v>
      </c>
      <c r="E24" s="146">
        <f>D8-H19</f>
        <v>1808.4953012714213</v>
      </c>
      <c r="F24" s="74">
        <f>F8-J19</f>
        <v>2524.1777777777775</v>
      </c>
      <c r="G24" s="74">
        <f>F8-L19</f>
        <v>2271.7599999999998</v>
      </c>
      <c r="H24" s="138">
        <f>F8-N19</f>
        <v>2019.3422222222225</v>
      </c>
      <c r="I24" s="147">
        <f>+D8-M39</f>
        <v>2825.7739082365952</v>
      </c>
      <c r="J24" s="147">
        <f>+D8-M40</f>
        <v>3390.9286898839146</v>
      </c>
      <c r="K24" s="147">
        <f>+F8-N39</f>
        <v>3155.2222222222226</v>
      </c>
      <c r="L24" s="148">
        <f>+F8-N40</f>
        <v>3786.2666666666669</v>
      </c>
    </row>
    <row r="26" spans="1:25" ht="20.399999999999999" x14ac:dyDescent="0.3">
      <c r="C26" s="32" t="s">
        <v>44</v>
      </c>
      <c r="D26" s="32" t="s">
        <v>45</v>
      </c>
      <c r="E26" s="32" t="s">
        <v>46</v>
      </c>
      <c r="F26" s="32" t="s">
        <v>47</v>
      </c>
      <c r="G26" s="32" t="s">
        <v>48</v>
      </c>
      <c r="H26" s="32" t="s">
        <v>49</v>
      </c>
    </row>
    <row r="27" spans="1:25" x14ac:dyDescent="0.3">
      <c r="C27" s="33">
        <v>7.4809999999999999</v>
      </c>
      <c r="D27" s="33">
        <v>62.37</v>
      </c>
      <c r="E27" s="34">
        <v>1</v>
      </c>
      <c r="F27" s="30" t="s">
        <v>17</v>
      </c>
      <c r="G27" s="33">
        <v>106</v>
      </c>
      <c r="H27" s="35">
        <v>0.77</v>
      </c>
      <c r="J27" s="77"/>
      <c r="K27" s="77"/>
      <c r="L27" s="77"/>
      <c r="M27" s="77"/>
      <c r="N27" s="77"/>
    </row>
    <row r="28" spans="1:25" x14ac:dyDescent="0.3">
      <c r="C28" s="36" t="s">
        <v>50</v>
      </c>
      <c r="D28" s="36" t="s">
        <v>51</v>
      </c>
      <c r="E28" s="36" t="s">
        <v>52</v>
      </c>
      <c r="F28" s="36" t="s">
        <v>53</v>
      </c>
      <c r="G28" s="36" t="s">
        <v>53</v>
      </c>
      <c r="H28" s="36" t="s">
        <v>54</v>
      </c>
    </row>
    <row r="29" spans="1:25" ht="15" thickBot="1" x14ac:dyDescent="0.35"/>
    <row r="30" spans="1:25" ht="15" thickBot="1" x14ac:dyDescent="0.35">
      <c r="J30" s="201" t="s">
        <v>116</v>
      </c>
      <c r="K30" s="202"/>
      <c r="L30" s="202"/>
      <c r="M30" s="202"/>
      <c r="N30" s="203"/>
    </row>
    <row r="31" spans="1:25" ht="28.8" x14ac:dyDescent="0.3">
      <c r="A31" s="113" t="s">
        <v>102</v>
      </c>
      <c r="B31" s="109" t="s">
        <v>55</v>
      </c>
      <c r="C31" s="110" t="s">
        <v>39</v>
      </c>
      <c r="D31" s="111"/>
      <c r="E31" s="111"/>
      <c r="F31" s="110" t="s">
        <v>97</v>
      </c>
      <c r="G31" s="111"/>
      <c r="H31" s="112"/>
      <c r="J31" s="149" t="s">
        <v>105</v>
      </c>
      <c r="K31" s="133" t="s">
        <v>108</v>
      </c>
      <c r="L31" s="133" t="s">
        <v>109</v>
      </c>
      <c r="M31" s="128" t="s">
        <v>110</v>
      </c>
      <c r="N31" s="150" t="s">
        <v>111</v>
      </c>
    </row>
    <row r="32" spans="1:25" x14ac:dyDescent="0.3">
      <c r="B32" s="108" t="s">
        <v>101</v>
      </c>
      <c r="C32" s="41" t="s">
        <v>56</v>
      </c>
      <c r="D32" s="42" t="s">
        <v>57</v>
      </c>
      <c r="E32" s="42" t="s">
        <v>58</v>
      </c>
      <c r="F32" s="42" t="s">
        <v>56</v>
      </c>
      <c r="G32" s="42" t="s">
        <v>57</v>
      </c>
      <c r="H32" s="78" t="s">
        <v>58</v>
      </c>
      <c r="J32" s="151">
        <v>2.5</v>
      </c>
      <c r="K32" s="136">
        <v>31.122222222222224</v>
      </c>
      <c r="L32" s="136">
        <v>25.933333333333337</v>
      </c>
      <c r="M32" s="135">
        <v>5651.5478164731903</v>
      </c>
      <c r="N32" s="152">
        <v>6310.4444444444453</v>
      </c>
      <c r="Q32" s="77"/>
      <c r="R32" s="77"/>
      <c r="S32" s="77"/>
      <c r="T32" s="77"/>
      <c r="U32" s="77"/>
    </row>
    <row r="33" spans="2:21" x14ac:dyDescent="0.3">
      <c r="B33">
        <v>1</v>
      </c>
      <c r="C33" s="139">
        <f>(C$24*$D$27*$E$27*($G$27-$Q5))/($H$27*$C$27*100000)</f>
        <v>13.372944666061523</v>
      </c>
      <c r="D33" s="139">
        <f t="shared" ref="C33:E48" si="2">(D$24*$D$27*$E$27*($G$27-$Q5))/($H$27*$C$27*100000)</f>
        <v>12.03565019945537</v>
      </c>
      <c r="E33" s="139">
        <f t="shared" si="2"/>
        <v>10.698355732849219</v>
      </c>
      <c r="F33" s="139">
        <f t="shared" ref="F33:H48" si="3">(F$24*$D$27*$E$27*($G$27-$V5))/($H$27*$C$27*100000)</f>
        <v>14.932055326251932</v>
      </c>
      <c r="G33" s="139">
        <f t="shared" si="3"/>
        <v>13.438849793626739</v>
      </c>
      <c r="H33" s="139">
        <f t="shared" si="3"/>
        <v>11.945644261001549</v>
      </c>
      <c r="J33" s="151">
        <v>2.25</v>
      </c>
      <c r="K33" s="136">
        <v>28.009999999999998</v>
      </c>
      <c r="L33" s="136">
        <v>23.340000000000007</v>
      </c>
      <c r="M33" s="135">
        <v>5086.3930348258709</v>
      </c>
      <c r="N33" s="152">
        <v>5679.4000000000015</v>
      </c>
      <c r="O33" s="26"/>
      <c r="P33" s="77"/>
      <c r="Q33" s="77"/>
      <c r="R33" s="77"/>
      <c r="S33" s="77"/>
      <c r="T33" s="77"/>
      <c r="U33" s="77"/>
    </row>
    <row r="34" spans="2:21" x14ac:dyDescent="0.3">
      <c r="B34">
        <v>2</v>
      </c>
      <c r="C34" s="139">
        <f t="shared" si="2"/>
        <v>11.937582874067054</v>
      </c>
      <c r="D34" s="139">
        <f t="shared" si="2"/>
        <v>10.743824586660347</v>
      </c>
      <c r="E34" s="139">
        <f t="shared" si="2"/>
        <v>9.5500662992536434</v>
      </c>
      <c r="F34" s="139">
        <f t="shared" si="3"/>
        <v>13.326187303511174</v>
      </c>
      <c r="G34" s="139">
        <f t="shared" si="3"/>
        <v>11.993568573160058</v>
      </c>
      <c r="H34" s="139">
        <f t="shared" si="3"/>
        <v>10.660949842808943</v>
      </c>
      <c r="J34" s="151">
        <v>2</v>
      </c>
      <c r="K34" s="136">
        <v>24.897777777777776</v>
      </c>
      <c r="L34" s="136">
        <v>20.746666666666673</v>
      </c>
      <c r="M34" s="135">
        <v>4521.2382531785515</v>
      </c>
      <c r="N34" s="152">
        <v>5048.3555555555567</v>
      </c>
      <c r="O34" s="26"/>
      <c r="P34" s="77"/>
      <c r="Q34" s="77"/>
      <c r="R34" s="77"/>
      <c r="S34" s="77"/>
      <c r="T34" s="77"/>
      <c r="U34" s="77"/>
    </row>
    <row r="35" spans="2:21" x14ac:dyDescent="0.3">
      <c r="B35" s="77">
        <v>3</v>
      </c>
      <c r="C35" s="139">
        <f t="shared" si="2"/>
        <v>11.989018643140053</v>
      </c>
      <c r="D35" s="139">
        <f t="shared" si="2"/>
        <v>10.790116778826043</v>
      </c>
      <c r="E35" s="139">
        <f t="shared" si="2"/>
        <v>9.5912149145120402</v>
      </c>
      <c r="F35" s="139">
        <f t="shared" si="3"/>
        <v>13.384936533326108</v>
      </c>
      <c r="G35" s="139">
        <f t="shared" si="3"/>
        <v>12.046442879993497</v>
      </c>
      <c r="H35" s="139">
        <f t="shared" si="3"/>
        <v>10.707949226660888</v>
      </c>
      <c r="J35" s="151">
        <v>1.8</v>
      </c>
      <c r="K35" s="136">
        <v>22.407999999999998</v>
      </c>
      <c r="L35" s="136">
        <v>18.672000000000004</v>
      </c>
      <c r="M35" s="135">
        <v>4069.1144278606967</v>
      </c>
      <c r="N35" s="152">
        <v>4543.5200000000013</v>
      </c>
      <c r="O35" s="26"/>
      <c r="P35" s="77"/>
      <c r="Q35" s="77"/>
      <c r="R35" s="77"/>
      <c r="S35" s="77"/>
      <c r="T35" s="77"/>
      <c r="U35" s="77"/>
    </row>
    <row r="36" spans="2:21" x14ac:dyDescent="0.3">
      <c r="B36" s="77">
        <v>4</v>
      </c>
      <c r="C36" s="139">
        <f t="shared" si="2"/>
        <v>11.397913790441315</v>
      </c>
      <c r="D36" s="139">
        <f t="shared" si="2"/>
        <v>10.25812241139718</v>
      </c>
      <c r="E36" s="139">
        <f t="shared" si="2"/>
        <v>9.1183310323530513</v>
      </c>
      <c r="F36" s="139">
        <f t="shared" si="3"/>
        <v>12.723108887035814</v>
      </c>
      <c r="G36" s="139">
        <f t="shared" si="3"/>
        <v>11.450797998332234</v>
      </c>
      <c r="H36" s="139">
        <f t="shared" si="3"/>
        <v>10.178487109628655</v>
      </c>
      <c r="J36" s="151">
        <v>1.7</v>
      </c>
      <c r="K36" s="136">
        <v>21.16311111111111</v>
      </c>
      <c r="L36" s="136">
        <v>17.634666666666668</v>
      </c>
      <c r="M36" s="135">
        <v>3843.052515201769</v>
      </c>
      <c r="N36" s="152">
        <v>4291.1022222222227</v>
      </c>
      <c r="O36" s="26"/>
      <c r="P36" s="77"/>
      <c r="Q36" s="77"/>
      <c r="R36" s="77"/>
      <c r="S36" s="77"/>
      <c r="T36" s="77"/>
      <c r="U36" s="77"/>
    </row>
    <row r="37" spans="2:21" x14ac:dyDescent="0.3">
      <c r="B37" s="77">
        <v>5</v>
      </c>
      <c r="C37" s="139">
        <f t="shared" si="2"/>
        <v>12.28504300716923</v>
      </c>
      <c r="D37" s="139">
        <f t="shared" si="2"/>
        <v>11.056538706452306</v>
      </c>
      <c r="E37" s="139">
        <f t="shared" si="2"/>
        <v>9.8280344057353837</v>
      </c>
      <c r="F37" s="139">
        <f t="shared" si="3"/>
        <v>13.716829490777021</v>
      </c>
      <c r="G37" s="139">
        <f t="shared" si="3"/>
        <v>12.34514654169932</v>
      </c>
      <c r="H37" s="139">
        <f t="shared" si="3"/>
        <v>10.97346359262162</v>
      </c>
      <c r="J37" s="151">
        <v>1.6</v>
      </c>
      <c r="K37" s="136">
        <v>19.918222222222223</v>
      </c>
      <c r="L37" s="136">
        <v>16.597333333333339</v>
      </c>
      <c r="M37" s="135">
        <v>3616.9906025428418</v>
      </c>
      <c r="N37" s="152">
        <v>4038.6844444444455</v>
      </c>
      <c r="O37" s="26"/>
      <c r="P37" s="77"/>
      <c r="Q37" s="77"/>
      <c r="R37" s="77"/>
      <c r="S37" s="77"/>
      <c r="T37" s="77"/>
      <c r="U37" s="77"/>
    </row>
    <row r="38" spans="2:21" x14ac:dyDescent="0.3">
      <c r="B38" s="77">
        <v>6</v>
      </c>
      <c r="C38" s="139">
        <f t="shared" si="2"/>
        <v>10.84130533070873</v>
      </c>
      <c r="D38" s="139">
        <f t="shared" si="2"/>
        <v>9.7571747976378553</v>
      </c>
      <c r="E38" s="139">
        <f t="shared" si="2"/>
        <v>8.6730442645669843</v>
      </c>
      <c r="F38" s="139">
        <f t="shared" si="3"/>
        <v>12.111801439916327</v>
      </c>
      <c r="G38" s="139">
        <f t="shared" si="3"/>
        <v>10.900621295924697</v>
      </c>
      <c r="H38" s="139">
        <f>(H$24*$D$27*$E$27*($G$27-$V10))/($H$27*$C$27*100000)</f>
        <v>9.6894411519330657</v>
      </c>
      <c r="J38" s="151">
        <v>1.5</v>
      </c>
      <c r="K38" s="136">
        <v>18.673333333333328</v>
      </c>
      <c r="L38" s="136">
        <v>15.560000000000006</v>
      </c>
      <c r="M38" s="135">
        <v>3390.9286898839136</v>
      </c>
      <c r="N38" s="152">
        <v>3786.2666666666678</v>
      </c>
      <c r="O38" s="26"/>
      <c r="P38" s="77"/>
      <c r="Q38" s="77"/>
      <c r="R38" s="77"/>
      <c r="S38" s="77"/>
      <c r="T38" s="77"/>
      <c r="U38" s="77"/>
    </row>
    <row r="39" spans="2:21" x14ac:dyDescent="0.3">
      <c r="B39" s="77">
        <v>7</v>
      </c>
      <c r="C39" s="139">
        <f t="shared" si="2"/>
        <v>10.643004756854742</v>
      </c>
      <c r="D39" s="139">
        <f t="shared" si="2"/>
        <v>9.5787042811692658</v>
      </c>
      <c r="E39" s="139">
        <f t="shared" si="2"/>
        <v>8.5144038054837932</v>
      </c>
      <c r="F39" s="139">
        <f t="shared" si="3"/>
        <v>11.888396910686634</v>
      </c>
      <c r="G39" s="139">
        <f t="shared" si="3"/>
        <v>10.699557219617972</v>
      </c>
      <c r="H39" s="139">
        <f t="shared" si="3"/>
        <v>9.5107175285493106</v>
      </c>
      <c r="J39" s="151">
        <v>1.25</v>
      </c>
      <c r="K39" s="136">
        <v>15.561111111111112</v>
      </c>
      <c r="L39" s="136">
        <v>12.966666666666669</v>
      </c>
      <c r="M39" s="135">
        <v>2825.7739082365952</v>
      </c>
      <c r="N39" s="152">
        <v>3155.2222222222226</v>
      </c>
      <c r="O39" s="26"/>
      <c r="P39" s="77"/>
      <c r="Q39" s="77"/>
      <c r="R39" s="77"/>
      <c r="S39" s="77"/>
      <c r="T39" s="77"/>
      <c r="U39" s="77"/>
    </row>
    <row r="40" spans="2:21" ht="15" thickBot="1" x14ac:dyDescent="0.35">
      <c r="B40" s="77">
        <v>8</v>
      </c>
      <c r="C40" s="139">
        <f t="shared" si="2"/>
        <v>10.358129957231691</v>
      </c>
      <c r="D40" s="139">
        <f t="shared" si="2"/>
        <v>9.3223169615085197</v>
      </c>
      <c r="E40" s="139">
        <f t="shared" si="2"/>
        <v>8.2865039657853519</v>
      </c>
      <c r="F40" s="139">
        <f t="shared" si="3"/>
        <v>11.573998390844878</v>
      </c>
      <c r="G40" s="139">
        <f t="shared" si="3"/>
        <v>10.416598551760393</v>
      </c>
      <c r="H40" s="139">
        <f t="shared" si="3"/>
        <v>9.2591987126759054</v>
      </c>
      <c r="J40" s="153">
        <v>1</v>
      </c>
      <c r="K40" s="154">
        <v>12.448888888888888</v>
      </c>
      <c r="L40" s="154">
        <v>10.373333333333337</v>
      </c>
      <c r="M40" s="155">
        <v>2260.6191265892758</v>
      </c>
      <c r="N40" s="156">
        <v>2524.1777777777784</v>
      </c>
      <c r="O40" s="26"/>
      <c r="P40" s="77"/>
      <c r="Q40" s="77"/>
      <c r="R40" s="77"/>
      <c r="S40" s="77"/>
      <c r="T40" s="77"/>
      <c r="U40" s="77"/>
    </row>
    <row r="41" spans="2:21" x14ac:dyDescent="0.3">
      <c r="B41" s="77">
        <v>9</v>
      </c>
      <c r="C41" s="139">
        <f t="shared" si="2"/>
        <v>10.344725697852128</v>
      </c>
      <c r="D41" s="139">
        <f t="shared" si="2"/>
        <v>9.310253128066913</v>
      </c>
      <c r="E41" s="139">
        <f t="shared" si="2"/>
        <v>8.2757805582817028</v>
      </c>
      <c r="F41" s="139">
        <f t="shared" si="3"/>
        <v>11.562734629693193</v>
      </c>
      <c r="G41" s="139">
        <f t="shared" si="3"/>
        <v>10.406461166723876</v>
      </c>
      <c r="H41" s="139">
        <f t="shared" si="3"/>
        <v>9.2501877037545572</v>
      </c>
      <c r="J41" s="26"/>
      <c r="K41" s="26"/>
      <c r="L41" s="26"/>
      <c r="M41" s="26"/>
      <c r="N41" s="26"/>
      <c r="O41" s="26"/>
      <c r="P41" s="77"/>
      <c r="Q41" s="77"/>
      <c r="R41" s="77"/>
      <c r="S41" s="77"/>
      <c r="T41" s="77"/>
      <c r="U41" s="77"/>
    </row>
    <row r="42" spans="2:21" x14ac:dyDescent="0.3">
      <c r="B42" s="77">
        <v>10</v>
      </c>
      <c r="C42" s="139">
        <f t="shared" si="2"/>
        <v>10.271821337029444</v>
      </c>
      <c r="D42" s="139">
        <f t="shared" si="2"/>
        <v>9.2446392033264964</v>
      </c>
      <c r="E42" s="139">
        <f t="shared" si="2"/>
        <v>8.2174570696235545</v>
      </c>
      <c r="F42" s="139">
        <f t="shared" si="3"/>
        <v>11.485974623703946</v>
      </c>
      <c r="G42" s="139">
        <f t="shared" si="3"/>
        <v>10.337377161333551</v>
      </c>
      <c r="H42" s="139">
        <f t="shared" si="3"/>
        <v>9.1887796989631596</v>
      </c>
      <c r="J42" s="26"/>
      <c r="K42" s="26"/>
      <c r="L42" s="26"/>
      <c r="M42" s="26"/>
      <c r="N42" s="26"/>
      <c r="O42" s="26"/>
      <c r="P42" s="77"/>
      <c r="Q42" s="77"/>
      <c r="R42" s="77"/>
      <c r="S42" s="77"/>
      <c r="T42" s="77"/>
      <c r="U42" s="77"/>
    </row>
    <row r="43" spans="2:21" x14ac:dyDescent="0.3">
      <c r="B43" s="77">
        <v>11</v>
      </c>
      <c r="C43" s="139">
        <f t="shared" si="2"/>
        <v>10.561792275149363</v>
      </c>
      <c r="D43" s="139">
        <f t="shared" si="2"/>
        <v>9.5056130476344247</v>
      </c>
      <c r="E43" s="139">
        <f t="shared" si="2"/>
        <v>8.4494338201194896</v>
      </c>
      <c r="F43" s="139">
        <f t="shared" si="3"/>
        <v>11.842526772694066</v>
      </c>
      <c r="G43" s="139">
        <f t="shared" si="3"/>
        <v>10.658274095424661</v>
      </c>
      <c r="H43" s="139">
        <f t="shared" si="3"/>
        <v>9.4740214181552584</v>
      </c>
      <c r="J43" s="26"/>
      <c r="K43" s="26"/>
      <c r="L43" s="26"/>
      <c r="M43" s="26"/>
      <c r="N43" s="26"/>
      <c r="O43" s="26"/>
      <c r="P43" s="77"/>
      <c r="Q43" s="77"/>
      <c r="R43" s="77"/>
      <c r="S43" s="77"/>
      <c r="T43" s="77"/>
      <c r="U43" s="77"/>
    </row>
    <row r="44" spans="2:21" x14ac:dyDescent="0.3">
      <c r="B44" s="77">
        <v>12</v>
      </c>
      <c r="C44" s="139">
        <f t="shared" si="2"/>
        <v>11.082027284633098</v>
      </c>
      <c r="D44" s="139">
        <f t="shared" si="2"/>
        <v>9.9738245561697862</v>
      </c>
      <c r="E44" s="139">
        <f t="shared" si="2"/>
        <v>8.8656218277064784</v>
      </c>
      <c r="F44" s="139">
        <f t="shared" si="3"/>
        <v>12.396427944111194</v>
      </c>
      <c r="G44" s="139">
        <f t="shared" si="3"/>
        <v>11.156785149700077</v>
      </c>
      <c r="H44" s="139">
        <f t="shared" si="3"/>
        <v>9.9171423552889593</v>
      </c>
      <c r="J44" s="26"/>
      <c r="K44" s="26"/>
      <c r="L44" s="26"/>
      <c r="M44" s="26"/>
      <c r="N44" s="26"/>
      <c r="O44" s="26"/>
      <c r="P44" s="77"/>
      <c r="Q44" s="77"/>
      <c r="R44" s="77"/>
      <c r="S44" s="77"/>
      <c r="T44" s="77"/>
      <c r="U44" s="77"/>
    </row>
    <row r="45" spans="2:21" x14ac:dyDescent="0.3">
      <c r="B45" s="77">
        <v>13</v>
      </c>
      <c r="C45" s="139">
        <f t="shared" si="2"/>
        <v>10.337350425954401</v>
      </c>
      <c r="D45" s="139">
        <f t="shared" si="2"/>
        <v>9.3036153833589577</v>
      </c>
      <c r="E45" s="139">
        <f t="shared" si="2"/>
        <v>8.2698803407635193</v>
      </c>
      <c r="F45" s="139">
        <f t="shared" si="3"/>
        <v>11.59079646360575</v>
      </c>
      <c r="G45" s="139">
        <f t="shared" si="3"/>
        <v>10.431716817245176</v>
      </c>
      <c r="H45" s="139">
        <f t="shared" si="3"/>
        <v>9.2726371708846038</v>
      </c>
      <c r="J45" s="26"/>
      <c r="K45" s="26"/>
      <c r="L45" s="26"/>
      <c r="M45" s="26"/>
      <c r="N45" s="26"/>
      <c r="O45" s="26"/>
      <c r="P45" s="77"/>
      <c r="Q45" s="77"/>
      <c r="R45" s="77"/>
      <c r="S45" s="77"/>
      <c r="T45" s="77"/>
      <c r="U45" s="77"/>
    </row>
    <row r="46" spans="2:21" x14ac:dyDescent="0.3">
      <c r="B46" s="77">
        <v>14</v>
      </c>
      <c r="C46" s="139">
        <f t="shared" si="2"/>
        <v>10.69051417827731</v>
      </c>
      <c r="D46" s="139">
        <f t="shared" si="2"/>
        <v>9.6214627604495764</v>
      </c>
      <c r="E46" s="139">
        <f t="shared" si="2"/>
        <v>8.5524113426218467</v>
      </c>
      <c r="F46" s="139">
        <f t="shared" si="3"/>
        <v>11.986215684722218</v>
      </c>
      <c r="G46" s="139">
        <f t="shared" si="3"/>
        <v>10.787594116249997</v>
      </c>
      <c r="H46" s="139">
        <f t="shared" si="3"/>
        <v>9.588972547777777</v>
      </c>
      <c r="J46" s="26"/>
      <c r="K46" s="26"/>
      <c r="L46" s="26"/>
      <c r="M46" s="26"/>
      <c r="N46" s="26"/>
      <c r="O46" s="26"/>
      <c r="P46" s="77"/>
      <c r="Q46" s="77"/>
      <c r="R46" s="77"/>
      <c r="S46" s="77"/>
      <c r="T46" s="77"/>
      <c r="U46" s="77"/>
    </row>
    <row r="47" spans="2:21" x14ac:dyDescent="0.3">
      <c r="B47" s="77">
        <v>15</v>
      </c>
      <c r="C47" s="139">
        <f t="shared" si="2"/>
        <v>7.6021651789525473</v>
      </c>
      <c r="D47" s="139">
        <f t="shared" si="2"/>
        <v>6.8419486610572919</v>
      </c>
      <c r="E47" s="139">
        <f t="shared" si="2"/>
        <v>6.0817321431620384</v>
      </c>
      <c r="F47" s="139">
        <f t="shared" si="3"/>
        <v>8.5753045298656918</v>
      </c>
      <c r="G47" s="139">
        <f t="shared" si="3"/>
        <v>7.7177740768791239</v>
      </c>
      <c r="H47" s="139">
        <f t="shared" si="3"/>
        <v>6.8602436238925568</v>
      </c>
      <c r="J47" s="26"/>
      <c r="K47" s="26"/>
      <c r="L47" s="26"/>
      <c r="M47" s="26"/>
      <c r="N47" s="26"/>
      <c r="O47" s="26"/>
      <c r="P47" s="77"/>
      <c r="Q47" s="77"/>
      <c r="R47" s="77"/>
      <c r="S47" s="77"/>
      <c r="T47" s="77"/>
      <c r="U47" s="77"/>
    </row>
    <row r="48" spans="2:21" x14ac:dyDescent="0.3">
      <c r="B48" s="77">
        <v>16</v>
      </c>
      <c r="C48" s="140">
        <f t="shared" si="2"/>
        <v>13.322262674359655</v>
      </c>
      <c r="D48" s="140">
        <f t="shared" si="2"/>
        <v>11.990036406923686</v>
      </c>
      <c r="E48" s="140">
        <f t="shared" si="2"/>
        <v>10.657810139487722</v>
      </c>
      <c r="F48" s="139">
        <f t="shared" si="3"/>
        <v>14.899307088523774</v>
      </c>
      <c r="G48" s="139">
        <f t="shared" si="3"/>
        <v>13.409376379671397</v>
      </c>
      <c r="H48" s="139">
        <f t="shared" si="3"/>
        <v>11.919445670819021</v>
      </c>
      <c r="J48" s="26"/>
      <c r="K48" s="26"/>
      <c r="L48" s="26"/>
      <c r="M48" s="26"/>
      <c r="N48" s="26"/>
      <c r="O48" s="26"/>
      <c r="P48" s="77"/>
      <c r="Q48" s="77"/>
      <c r="R48" s="77"/>
      <c r="S48" s="77"/>
      <c r="T48" s="77"/>
      <c r="U48" s="77"/>
    </row>
    <row r="49" spans="2:21" ht="15.6" x14ac:dyDescent="0.3">
      <c r="B49" s="109" t="s">
        <v>55</v>
      </c>
      <c r="C49" s="131" t="s">
        <v>39</v>
      </c>
      <c r="D49" s="131"/>
      <c r="E49" s="131"/>
      <c r="F49" s="131" t="s">
        <v>97</v>
      </c>
      <c r="G49" s="131"/>
      <c r="H49" s="131"/>
      <c r="P49" s="77"/>
      <c r="Q49" s="77"/>
      <c r="R49" s="77"/>
      <c r="S49" s="77"/>
      <c r="T49" s="77"/>
      <c r="U49" s="77"/>
    </row>
    <row r="50" spans="2:21" x14ac:dyDescent="0.3">
      <c r="B50" s="108" t="s">
        <v>101</v>
      </c>
      <c r="C50" s="132" t="s">
        <v>106</v>
      </c>
      <c r="D50" s="132" t="s">
        <v>107</v>
      </c>
      <c r="E50" s="132"/>
      <c r="F50" s="132" t="s">
        <v>106</v>
      </c>
      <c r="G50" s="132" t="s">
        <v>107</v>
      </c>
      <c r="H50" s="132"/>
    </row>
    <row r="51" spans="2:21" x14ac:dyDescent="0.3">
      <c r="B51" s="77">
        <v>1</v>
      </c>
      <c r="C51" s="129">
        <f>($I$24*$D$27*$E$27*($G$27-$Q5))/($H$27*$C$27*100000)</f>
        <v>16.716180832576899</v>
      </c>
      <c r="D51" s="139">
        <f>($J$24*$D$27*$E$27*($G$27-$Q5))/($H$27*$C$27*100000)</f>
        <v>20.059416999092281</v>
      </c>
      <c r="E51" s="127"/>
      <c r="F51" s="139">
        <f>($K$24*$D$27*$E$27*($G$27-$Q5))/($H$27*$C$27*100000)</f>
        <v>18.665069091301039</v>
      </c>
      <c r="G51" s="139">
        <f>($L$24*$D$27*$E$27*($G$27-$Q5))/($H$27*$C$27*100000)</f>
        <v>22.398082909561243</v>
      </c>
      <c r="H51" s="127"/>
    </row>
    <row r="52" spans="2:21" x14ac:dyDescent="0.3">
      <c r="B52" s="77">
        <v>2</v>
      </c>
      <c r="C52" s="129">
        <f t="shared" ref="C52:C66" si="4">($I$24*$D$27*$E$27*($G$27-$Q6))/($H$27*$C$27*100000)</f>
        <v>14.921978592583814</v>
      </c>
      <c r="D52" s="139">
        <f t="shared" ref="D52:D66" si="5">($J$24*$D$27*$E$27*($G$27-$Q6))/($H$27*$C$27*100000)</f>
        <v>17.906374311100581</v>
      </c>
      <c r="E52" s="127"/>
      <c r="F52" s="139">
        <f t="shared" ref="F52:F66" si="6">($K$24*$D$27*$E$27*($G$27-$Q6))/($H$27*$C$27*100000)</f>
        <v>16.66168631453818</v>
      </c>
      <c r="G52" s="139">
        <f t="shared" ref="G52:G66" si="7">($L$24*$D$27*$E$27*($G$27-$Q6))/($H$27*$C$27*100000)</f>
        <v>19.994023577445809</v>
      </c>
      <c r="H52" s="127"/>
    </row>
    <row r="53" spans="2:21" x14ac:dyDescent="0.3">
      <c r="B53" s="77">
        <v>3</v>
      </c>
      <c r="C53" s="129">
        <f t="shared" si="4"/>
        <v>14.98627330392506</v>
      </c>
      <c r="D53" s="139">
        <f t="shared" si="5"/>
        <v>17.983527964710074</v>
      </c>
      <c r="E53" s="127"/>
      <c r="F53" s="139">
        <f t="shared" si="6"/>
        <v>16.733476949098133</v>
      </c>
      <c r="G53" s="139">
        <f t="shared" si="7"/>
        <v>20.080172338917752</v>
      </c>
      <c r="H53" s="127"/>
    </row>
    <row r="54" spans="2:21" x14ac:dyDescent="0.3">
      <c r="B54" s="77">
        <v>4</v>
      </c>
      <c r="C54" s="129">
        <f t="shared" si="4"/>
        <v>14.247392238051638</v>
      </c>
      <c r="D54" s="139">
        <f t="shared" si="5"/>
        <v>17.096870685661969</v>
      </c>
      <c r="E54" s="127"/>
      <c r="F54" s="139">
        <f t="shared" si="6"/>
        <v>15.908452005726808</v>
      </c>
      <c r="G54" s="139">
        <f t="shared" si="7"/>
        <v>19.090142406872168</v>
      </c>
      <c r="H54" s="127"/>
    </row>
    <row r="55" spans="2:21" x14ac:dyDescent="0.3">
      <c r="B55" s="77">
        <v>5</v>
      </c>
      <c r="C55" s="129">
        <f>($I$24*$D$27*$E$27*($G$27-$Q9))/($H$27*$C$27*100000)</f>
        <v>15.356303758961534</v>
      </c>
      <c r="D55" s="139">
        <f t="shared" si="5"/>
        <v>18.427564510753847</v>
      </c>
      <c r="E55" s="127"/>
      <c r="F55" s="139">
        <f t="shared" si="6"/>
        <v>17.146648120092017</v>
      </c>
      <c r="G55" s="139">
        <f t="shared" si="7"/>
        <v>20.575977744110418</v>
      </c>
      <c r="H55" s="127"/>
    </row>
    <row r="56" spans="2:21" x14ac:dyDescent="0.3">
      <c r="B56" s="77">
        <v>6</v>
      </c>
      <c r="C56" s="129">
        <f t="shared" si="4"/>
        <v>13.551631663385908</v>
      </c>
      <c r="D56" s="139">
        <f t="shared" si="5"/>
        <v>16.261957996063096</v>
      </c>
      <c r="E56" s="127"/>
      <c r="F56" s="139">
        <f t="shared" si="6"/>
        <v>15.131574839392801</v>
      </c>
      <c r="G56" s="139">
        <f t="shared" si="7"/>
        <v>18.15788980727136</v>
      </c>
      <c r="H56" s="127"/>
    </row>
    <row r="57" spans="2:21" x14ac:dyDescent="0.3">
      <c r="B57" s="77">
        <v>7</v>
      </c>
      <c r="C57" s="129">
        <f t="shared" si="4"/>
        <v>13.303755946068422</v>
      </c>
      <c r="D57" s="139">
        <f t="shared" si="5"/>
        <v>15.964507135282108</v>
      </c>
      <c r="E57" s="127"/>
      <c r="F57" s="139">
        <f t="shared" si="6"/>
        <v>14.85480005236907</v>
      </c>
      <c r="G57" s="139">
        <f t="shared" si="7"/>
        <v>17.825760062842878</v>
      </c>
      <c r="H57" s="127"/>
    </row>
    <row r="58" spans="2:21" x14ac:dyDescent="0.3">
      <c r="B58" s="77">
        <v>8</v>
      </c>
      <c r="C58" s="129">
        <f t="shared" si="4"/>
        <v>12.94766244653961</v>
      </c>
      <c r="D58" s="139">
        <f t="shared" si="5"/>
        <v>15.537194935847534</v>
      </c>
      <c r="E58" s="127"/>
      <c r="F58" s="139">
        <f t="shared" si="6"/>
        <v>14.457190703784157</v>
      </c>
      <c r="G58" s="139">
        <f t="shared" si="7"/>
        <v>17.34862884454099</v>
      </c>
      <c r="H58" s="127"/>
    </row>
    <row r="59" spans="2:21" x14ac:dyDescent="0.3">
      <c r="B59" s="77">
        <v>9</v>
      </c>
      <c r="C59" s="129">
        <f t="shared" si="4"/>
        <v>12.930907122315157</v>
      </c>
      <c r="D59" s="139">
        <f t="shared" si="5"/>
        <v>15.51708854677819</v>
      </c>
      <c r="E59" s="127"/>
      <c r="F59" s="139">
        <f t="shared" si="6"/>
        <v>14.438481927692965</v>
      </c>
      <c r="G59" s="139">
        <f t="shared" si="7"/>
        <v>17.326178313231555</v>
      </c>
      <c r="H59" s="127"/>
    </row>
    <row r="60" spans="2:21" x14ac:dyDescent="0.3">
      <c r="B60" s="77">
        <v>10</v>
      </c>
      <c r="C60" s="129">
        <f t="shared" si="4"/>
        <v>12.839776671286801</v>
      </c>
      <c r="D60" s="139">
        <f t="shared" si="5"/>
        <v>15.407732005544164</v>
      </c>
      <c r="E60" s="127"/>
      <c r="F60" s="139">
        <f t="shared" si="6"/>
        <v>14.336726856854606</v>
      </c>
      <c r="G60" s="139">
        <f t="shared" si="7"/>
        <v>17.204072228225524</v>
      </c>
      <c r="H60" s="127"/>
    </row>
    <row r="61" spans="2:21" x14ac:dyDescent="0.3">
      <c r="B61" s="77">
        <v>11</v>
      </c>
      <c r="C61" s="129">
        <f t="shared" si="4"/>
        <v>13.202240343936699</v>
      </c>
      <c r="D61" s="139">
        <f t="shared" si="5"/>
        <v>15.842688412724044</v>
      </c>
      <c r="E61" s="127"/>
      <c r="F61" s="139">
        <f t="shared" si="6"/>
        <v>14.741449057508987</v>
      </c>
      <c r="G61" s="139">
        <f t="shared" si="7"/>
        <v>17.689738869010782</v>
      </c>
      <c r="H61" s="127"/>
    </row>
    <row r="62" spans="2:21" x14ac:dyDescent="0.3">
      <c r="B62" s="77">
        <v>12</v>
      </c>
      <c r="C62" s="129">
        <f t="shared" si="4"/>
        <v>13.852534105791369</v>
      </c>
      <c r="D62" s="139">
        <f t="shared" si="5"/>
        <v>16.623040926949646</v>
      </c>
      <c r="E62" s="127"/>
      <c r="F62" s="139">
        <f t="shared" si="6"/>
        <v>15.467558574762178</v>
      </c>
      <c r="G62" s="139">
        <f t="shared" si="7"/>
        <v>18.561070289714607</v>
      </c>
      <c r="H62" s="127"/>
    </row>
    <row r="63" spans="2:21" x14ac:dyDescent="0.3">
      <c r="B63" s="77">
        <v>13</v>
      </c>
      <c r="C63" s="129">
        <f t="shared" si="4"/>
        <v>12.921688032442995</v>
      </c>
      <c r="D63" s="139">
        <f t="shared" si="5"/>
        <v>15.506025638931598</v>
      </c>
      <c r="E63" s="127"/>
      <c r="F63" s="139">
        <f t="shared" si="6"/>
        <v>14.428188012405364</v>
      </c>
      <c r="G63" s="139">
        <f t="shared" si="7"/>
        <v>17.313825614886433</v>
      </c>
      <c r="H63" s="127"/>
    </row>
    <row r="64" spans="2:21" x14ac:dyDescent="0.3">
      <c r="B64" s="77">
        <v>14</v>
      </c>
      <c r="C64" s="129">
        <f t="shared" si="4"/>
        <v>13.363142722846632</v>
      </c>
      <c r="D64" s="139">
        <f t="shared" si="5"/>
        <v>16.035771267415964</v>
      </c>
      <c r="E64" s="127"/>
      <c r="F64" s="139">
        <f t="shared" si="6"/>
        <v>14.921110551326747</v>
      </c>
      <c r="G64" s="139">
        <f t="shared" si="7"/>
        <v>17.905332661592094</v>
      </c>
      <c r="H64" s="127"/>
    </row>
    <row r="65" spans="2:8" x14ac:dyDescent="0.3">
      <c r="B65" s="77">
        <v>15</v>
      </c>
      <c r="C65" s="129">
        <f t="shared" si="4"/>
        <v>9.502706473690683</v>
      </c>
      <c r="D65" s="139">
        <f t="shared" si="5"/>
        <v>11.403247768428821</v>
      </c>
      <c r="E65" s="127"/>
      <c r="F65" s="139">
        <f t="shared" si="6"/>
        <v>10.610597878920396</v>
      </c>
      <c r="G65" s="139">
        <f t="shared" si="7"/>
        <v>12.732717454704474</v>
      </c>
      <c r="H65" s="127"/>
    </row>
    <row r="66" spans="2:8" x14ac:dyDescent="0.3">
      <c r="B66" s="77">
        <v>16</v>
      </c>
      <c r="C66" s="129">
        <f t="shared" si="4"/>
        <v>16.652828342949562</v>
      </c>
      <c r="D66" s="139">
        <f t="shared" si="5"/>
        <v>19.983394011539477</v>
      </c>
      <c r="E66" s="127"/>
      <c r="F66" s="139">
        <f t="shared" si="6"/>
        <v>18.594330529195052</v>
      </c>
      <c r="G66" s="139">
        <f t="shared" si="7"/>
        <v>22.313196635034057</v>
      </c>
      <c r="H66" s="127"/>
    </row>
  </sheetData>
  <mergeCells count="7">
    <mergeCell ref="J30:N30"/>
    <mergeCell ref="C11:H11"/>
    <mergeCell ref="I11:N11"/>
    <mergeCell ref="C22:E22"/>
    <mergeCell ref="I22:J22"/>
    <mergeCell ref="K22:L22"/>
    <mergeCell ref="F22:H22"/>
  </mergeCells>
  <pageMargins left="0.7" right="0.7" top="0.75" bottom="0.75" header="0.3" footer="0.3"/>
  <pageSetup orientation="portrait" verticalDpi="0" r:id="rId1"/>
  <ignoredErrors>
    <ignoredError sqref="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A10" zoomScale="80" zoomScaleNormal="80" workbookViewId="0">
      <selection activeCell="A56" sqref="A56:XFD56"/>
    </sheetView>
  </sheetViews>
  <sheetFormatPr defaultRowHeight="14.4" x14ac:dyDescent="0.3"/>
  <cols>
    <col min="1" max="1" width="8.44140625" bestFit="1" customWidth="1"/>
    <col min="2" max="2" width="41.88671875" bestFit="1" customWidth="1"/>
    <col min="3" max="3" width="10.6640625" bestFit="1" customWidth="1"/>
    <col min="4" max="4" width="18.88671875" bestFit="1" customWidth="1"/>
    <col min="5" max="5" width="15" bestFit="1" customWidth="1"/>
    <col min="6" max="6" width="18.88671875" bestFit="1" customWidth="1"/>
    <col min="7" max="7" width="10.6640625" bestFit="1" customWidth="1"/>
    <col min="8" max="8" width="18.88671875" bestFit="1" customWidth="1"/>
    <col min="9" max="9" width="21" bestFit="1" customWidth="1"/>
    <col min="10" max="10" width="21" style="50" customWidth="1"/>
    <col min="11" max="11" width="11.109375" bestFit="1" customWidth="1"/>
    <col min="12" max="12" width="19.33203125" bestFit="1" customWidth="1"/>
    <col min="13" max="13" width="11.109375" bestFit="1" customWidth="1"/>
    <col min="14" max="14" width="19.33203125" bestFit="1" customWidth="1"/>
    <col min="15" max="15" width="12.33203125" customWidth="1"/>
    <col min="17" max="17" width="17.88671875" bestFit="1" customWidth="1"/>
    <col min="21" max="21" width="7.33203125" customWidth="1"/>
    <col min="22" max="22" width="17.88671875" bestFit="1" customWidth="1"/>
    <col min="24" max="24" width="12.33203125" customWidth="1"/>
  </cols>
  <sheetData>
    <row r="1" spans="1:24" ht="16.2" thickBot="1" x14ac:dyDescent="0.35">
      <c r="B1" s="2" t="s">
        <v>0</v>
      </c>
      <c r="C1" s="3" t="s">
        <v>1</v>
      </c>
      <c r="D1" s="3" t="s">
        <v>2</v>
      </c>
      <c r="E1" s="18" t="s">
        <v>3</v>
      </c>
      <c r="F1" s="3" t="s">
        <v>4</v>
      </c>
      <c r="G1" s="3" t="s">
        <v>5</v>
      </c>
      <c r="H1" s="18" t="s">
        <v>6</v>
      </c>
      <c r="I1" s="3"/>
      <c r="J1" s="52"/>
      <c r="K1" s="3"/>
      <c r="L1" s="4" t="s">
        <v>7</v>
      </c>
      <c r="M1" s="5"/>
    </row>
    <row r="2" spans="1:24" x14ac:dyDescent="0.3">
      <c r="B2" s="6" t="s">
        <v>8</v>
      </c>
      <c r="C2" s="7">
        <v>2.5</v>
      </c>
      <c r="D2" s="7">
        <v>2.25</v>
      </c>
      <c r="E2" s="19">
        <v>2.25</v>
      </c>
      <c r="F2" s="7">
        <v>2.5</v>
      </c>
      <c r="G2" s="7">
        <v>2.25</v>
      </c>
      <c r="H2" s="19">
        <v>2.25</v>
      </c>
      <c r="I2" s="8" t="s">
        <v>9</v>
      </c>
      <c r="J2" s="54"/>
      <c r="K2" s="1"/>
      <c r="L2" s="8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9"/>
    </row>
    <row r="3" spans="1:24" x14ac:dyDescent="0.3">
      <c r="B3" s="6" t="s">
        <v>11</v>
      </c>
      <c r="C3" s="10">
        <v>7.4</v>
      </c>
      <c r="D3" s="10">
        <v>7.4</v>
      </c>
      <c r="E3" s="20">
        <v>7.4</v>
      </c>
      <c r="F3" s="10">
        <v>7.4</v>
      </c>
      <c r="G3" s="10">
        <v>7.4</v>
      </c>
      <c r="H3" s="20">
        <v>7.4</v>
      </c>
      <c r="I3" s="8" t="s">
        <v>12</v>
      </c>
      <c r="J3" s="54"/>
      <c r="K3" s="1"/>
      <c r="L3" s="8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1"/>
    </row>
    <row r="4" spans="1:24" x14ac:dyDescent="0.3">
      <c r="B4" s="6" t="s">
        <v>13</v>
      </c>
      <c r="C4" s="10">
        <v>2.79</v>
      </c>
      <c r="D4" s="10">
        <v>2.79</v>
      </c>
      <c r="E4" s="20">
        <v>2.79</v>
      </c>
      <c r="F4" s="10">
        <v>2.2200000000000002</v>
      </c>
      <c r="G4" s="10">
        <v>2.2200000000000002</v>
      </c>
      <c r="H4" s="20">
        <v>2.2200000000000002</v>
      </c>
      <c r="I4" s="8" t="s">
        <v>14</v>
      </c>
      <c r="J4" s="54"/>
      <c r="K4" s="1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1"/>
    </row>
    <row r="5" spans="1:24" x14ac:dyDescent="0.3">
      <c r="B5" s="6" t="s">
        <v>16</v>
      </c>
      <c r="C5" s="10">
        <v>0.9</v>
      </c>
      <c r="D5" s="10">
        <v>0.9</v>
      </c>
      <c r="E5" s="20">
        <v>0.9</v>
      </c>
      <c r="F5" s="10">
        <v>0.9</v>
      </c>
      <c r="G5" s="10">
        <v>0.9</v>
      </c>
      <c r="H5" s="20">
        <v>0.9</v>
      </c>
      <c r="I5" s="8" t="s">
        <v>17</v>
      </c>
      <c r="J5" s="54"/>
      <c r="K5" s="1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1"/>
    </row>
    <row r="6" spans="1:24" x14ac:dyDescent="0.3">
      <c r="B6" s="6" t="s">
        <v>19</v>
      </c>
      <c r="C6" s="10">
        <v>365</v>
      </c>
      <c r="D6" s="10">
        <v>365</v>
      </c>
      <c r="E6" s="20">
        <v>365</v>
      </c>
      <c r="F6" s="10">
        <v>365</v>
      </c>
      <c r="G6" s="10">
        <v>365</v>
      </c>
      <c r="H6" s="20">
        <v>365</v>
      </c>
      <c r="I6" s="8" t="s">
        <v>19</v>
      </c>
      <c r="J6" s="54"/>
      <c r="K6" s="1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1"/>
    </row>
    <row r="7" spans="1:24" x14ac:dyDescent="0.3">
      <c r="B7" s="6" t="s">
        <v>21</v>
      </c>
      <c r="C7" s="7">
        <v>2.0099999999999998</v>
      </c>
      <c r="D7" s="7">
        <v>2.0099999999999998</v>
      </c>
      <c r="E7" s="19">
        <v>2.0099999999999998</v>
      </c>
      <c r="F7" s="7">
        <v>1.5</v>
      </c>
      <c r="G7" s="7">
        <v>1.5</v>
      </c>
      <c r="H7" s="19">
        <v>1.5</v>
      </c>
      <c r="I7" s="8" t="s">
        <v>22</v>
      </c>
      <c r="J7" s="54"/>
      <c r="K7" s="1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1"/>
    </row>
    <row r="8" spans="1:24" x14ac:dyDescent="0.3">
      <c r="B8" s="13" t="s">
        <v>23</v>
      </c>
      <c r="C8" s="14">
        <v>8435.5858208955196</v>
      </c>
      <c r="D8" s="14">
        <f>+D2*D3*D4*D5*D6/D7</f>
        <v>7592.0272388059711</v>
      </c>
      <c r="E8" s="21">
        <f>E9*365/E7</f>
        <v>5086.3930348258709</v>
      </c>
      <c r="F8" s="14">
        <v>8994.33</v>
      </c>
      <c r="G8" s="14">
        <v>8094.8970000000018</v>
      </c>
      <c r="H8" s="101">
        <f>H9*365/H7</f>
        <v>5679.4000000000015</v>
      </c>
      <c r="I8" s="8" t="s">
        <v>24</v>
      </c>
      <c r="J8" s="54"/>
      <c r="K8" s="1"/>
      <c r="L8" s="8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1"/>
    </row>
    <row r="9" spans="1:24" x14ac:dyDescent="0.3">
      <c r="B9" s="15" t="s">
        <v>25</v>
      </c>
      <c r="C9" s="16">
        <f>+C8/365*C7</f>
        <v>46.453499999999984</v>
      </c>
      <c r="D9" s="90">
        <f>+D8/365*D7</f>
        <v>41.808149999999998</v>
      </c>
      <c r="E9" s="126">
        <f>VLOOKUP(E2,'Mixed Daily Water Calculator'!$C$26:$G$34,2,FALSE)</f>
        <v>28.009999999999998</v>
      </c>
      <c r="F9" s="16">
        <v>36.963000000000001</v>
      </c>
      <c r="G9" s="16">
        <v>33.266700000000007</v>
      </c>
      <c r="H9" s="126">
        <f>VLOOKUP(H2,'Mixed Daily Water Calculator'!$C$26:$G$34,3,FALSE)</f>
        <v>23.340000000000007</v>
      </c>
      <c r="I9" s="17" t="s">
        <v>26</v>
      </c>
      <c r="J9" s="57"/>
      <c r="K9" s="17"/>
      <c r="L9" s="8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1"/>
    </row>
    <row r="10" spans="1:24" x14ac:dyDescent="0.3">
      <c r="B10" s="15" t="s">
        <v>27</v>
      </c>
      <c r="C10" s="16">
        <v>29.265705000000001</v>
      </c>
      <c r="D10" s="16">
        <v>26.339134500000004</v>
      </c>
      <c r="E10" s="16">
        <v>17.6463</v>
      </c>
      <c r="F10" s="16">
        <v>23.28669</v>
      </c>
      <c r="G10" s="16">
        <v>20.958021000000006</v>
      </c>
      <c r="H10" s="16">
        <v>14.7042</v>
      </c>
      <c r="I10" s="1"/>
      <c r="J10" s="51"/>
      <c r="K10" s="1"/>
      <c r="L10" s="8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1"/>
    </row>
    <row r="11" spans="1:24" x14ac:dyDescent="0.3">
      <c r="C11" s="204" t="s">
        <v>39</v>
      </c>
      <c r="D11" s="205"/>
      <c r="E11" s="205"/>
      <c r="F11" s="205"/>
      <c r="G11" s="205"/>
      <c r="H11" s="206"/>
      <c r="I11" s="204" t="s">
        <v>97</v>
      </c>
      <c r="J11" s="205"/>
      <c r="K11" s="205"/>
      <c r="L11" s="205"/>
      <c r="M11" s="205"/>
      <c r="N11" s="206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1"/>
    </row>
    <row r="12" spans="1:24" ht="15.6" x14ac:dyDescent="0.3">
      <c r="A12" t="s">
        <v>35</v>
      </c>
      <c r="B12" s="22" t="s">
        <v>28</v>
      </c>
      <c r="C12" s="60" t="s">
        <v>31</v>
      </c>
      <c r="D12" s="29" t="s">
        <v>34</v>
      </c>
      <c r="E12" s="51" t="s">
        <v>32</v>
      </c>
      <c r="F12" s="29" t="s">
        <v>33</v>
      </c>
      <c r="G12" s="51" t="s">
        <v>37</v>
      </c>
      <c r="H12" s="61" t="s">
        <v>38</v>
      </c>
      <c r="I12" s="60" t="s">
        <v>91</v>
      </c>
      <c r="J12" s="29" t="s">
        <v>95</v>
      </c>
      <c r="K12" s="51" t="s">
        <v>92</v>
      </c>
      <c r="L12" s="29" t="s">
        <v>93</v>
      </c>
      <c r="M12" s="51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1"/>
    </row>
    <row r="13" spans="1:24" x14ac:dyDescent="0.3">
      <c r="A13" t="s">
        <v>36</v>
      </c>
      <c r="B13" s="23" t="s">
        <v>29</v>
      </c>
      <c r="C13" s="55">
        <v>1.5</v>
      </c>
      <c r="D13" s="27">
        <v>1.5</v>
      </c>
      <c r="E13" s="55">
        <v>1.6</v>
      </c>
      <c r="F13" s="59">
        <v>1.6</v>
      </c>
      <c r="G13" s="55">
        <v>1.7</v>
      </c>
      <c r="H13" s="27">
        <v>1.7</v>
      </c>
      <c r="I13" s="55">
        <v>1.5</v>
      </c>
      <c r="J13" s="27">
        <v>1.5</v>
      </c>
      <c r="K13" s="55">
        <v>1.6</v>
      </c>
      <c r="L13" s="59">
        <v>1.6</v>
      </c>
      <c r="M13" s="55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1"/>
    </row>
    <row r="14" spans="1:24" x14ac:dyDescent="0.3">
      <c r="B14" s="23" t="s">
        <v>11</v>
      </c>
      <c r="C14" s="55">
        <v>7.4</v>
      </c>
      <c r="D14" s="27">
        <v>7.4</v>
      </c>
      <c r="E14" s="55">
        <v>7.4</v>
      </c>
      <c r="F14" s="59">
        <v>7.4</v>
      </c>
      <c r="G14" s="55">
        <v>7.4</v>
      </c>
      <c r="H14" s="27">
        <v>7.4</v>
      </c>
      <c r="I14" s="55">
        <v>7.4</v>
      </c>
      <c r="J14" s="27">
        <v>7.4</v>
      </c>
      <c r="K14" s="55">
        <v>7.4</v>
      </c>
      <c r="L14" s="59">
        <v>7.4</v>
      </c>
      <c r="M14" s="55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1"/>
    </row>
    <row r="15" spans="1:24" x14ac:dyDescent="0.3">
      <c r="B15" s="23" t="s">
        <v>13</v>
      </c>
      <c r="C15" s="55">
        <v>2.79</v>
      </c>
      <c r="D15" s="27">
        <v>2.79</v>
      </c>
      <c r="E15" s="55">
        <v>2.79</v>
      </c>
      <c r="F15" s="59">
        <v>2.79</v>
      </c>
      <c r="G15" s="55">
        <v>2.79</v>
      </c>
      <c r="H15" s="27">
        <v>2.79</v>
      </c>
      <c r="I15" s="55">
        <v>2.2200000000000002</v>
      </c>
      <c r="J15" s="27">
        <v>2.2200000000000002</v>
      </c>
      <c r="K15" s="55">
        <v>2.2200000000000002</v>
      </c>
      <c r="L15" s="59">
        <v>2.2200000000000002</v>
      </c>
      <c r="M15" s="55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1"/>
    </row>
    <row r="16" spans="1:24" x14ac:dyDescent="0.3">
      <c r="B16" s="23" t="s">
        <v>16</v>
      </c>
      <c r="C16" s="55">
        <v>0.9</v>
      </c>
      <c r="D16" s="27">
        <v>0.9</v>
      </c>
      <c r="E16" s="55">
        <v>0.9</v>
      </c>
      <c r="F16" s="59">
        <v>0.9</v>
      </c>
      <c r="G16" s="55">
        <v>0.9</v>
      </c>
      <c r="H16" s="27">
        <v>0.9</v>
      </c>
      <c r="I16" s="55">
        <v>0.9</v>
      </c>
      <c r="J16" s="27">
        <v>0.9</v>
      </c>
      <c r="K16" s="55">
        <v>0.9</v>
      </c>
      <c r="L16" s="59">
        <v>0.9</v>
      </c>
      <c r="M16" s="55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1"/>
    </row>
    <row r="17" spans="1:24" x14ac:dyDescent="0.3">
      <c r="B17" s="23" t="s">
        <v>19</v>
      </c>
      <c r="C17" s="55">
        <v>365</v>
      </c>
      <c r="D17" s="27">
        <v>365</v>
      </c>
      <c r="E17" s="55">
        <v>365</v>
      </c>
      <c r="F17" s="59">
        <v>365</v>
      </c>
      <c r="G17" s="55">
        <v>365</v>
      </c>
      <c r="H17" s="27">
        <v>365</v>
      </c>
      <c r="I17" s="55">
        <v>365</v>
      </c>
      <c r="J17" s="27">
        <v>365</v>
      </c>
      <c r="K17" s="55">
        <v>365</v>
      </c>
      <c r="L17" s="59">
        <v>365</v>
      </c>
      <c r="M17" s="55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1"/>
    </row>
    <row r="18" spans="1:24" x14ac:dyDescent="0.3">
      <c r="B18" s="23" t="s">
        <v>21</v>
      </c>
      <c r="C18" s="53">
        <v>2.0099999999999998</v>
      </c>
      <c r="D18" s="28">
        <v>2.0099999999999998</v>
      </c>
      <c r="E18" s="53">
        <v>2.0099999999999998</v>
      </c>
      <c r="F18" s="58">
        <v>2.0099999999999998</v>
      </c>
      <c r="G18" s="53">
        <v>2.0099999999999998</v>
      </c>
      <c r="H18" s="28">
        <v>2.0099999999999998</v>
      </c>
      <c r="I18" s="53">
        <v>1.5</v>
      </c>
      <c r="J18" s="28">
        <v>1.5</v>
      </c>
      <c r="K18" s="53">
        <v>1.5</v>
      </c>
      <c r="L18" s="58">
        <v>1.5</v>
      </c>
      <c r="M18" s="53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1"/>
    </row>
    <row r="19" spans="1:24" ht="15" x14ac:dyDescent="0.25">
      <c r="B19" s="24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1"/>
    </row>
    <row r="20" spans="1:24" ht="15" thickBot="1" x14ac:dyDescent="0.35">
      <c r="B20" s="25" t="s">
        <v>25</v>
      </c>
      <c r="C20" s="65">
        <f>C19/365*C18</f>
        <v>27.872100000000003</v>
      </c>
      <c r="D20" s="66">
        <f>C20*E9/D9</f>
        <v>18.673333333333336</v>
      </c>
      <c r="E20" s="67">
        <f>E19/365*E18</f>
        <v>29.730240000000002</v>
      </c>
      <c r="F20" s="66">
        <f>E20*E9/D9</f>
        <v>19.918222222222223</v>
      </c>
      <c r="G20" s="67">
        <f>G19/365*G18</f>
        <v>31.588380000000001</v>
      </c>
      <c r="H20" s="68">
        <f>G20*E9/D9</f>
        <v>21.16311111111111</v>
      </c>
      <c r="I20" s="65">
        <f>I19/365*I18</f>
        <v>22.177800000000005</v>
      </c>
      <c r="J20" s="66">
        <f>I20*H9/G9</f>
        <v>15.560000000000004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17.634666666666668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6"/>
    </row>
    <row r="21" spans="1:24" x14ac:dyDescent="0.3">
      <c r="B21" s="25" t="s">
        <v>27</v>
      </c>
      <c r="I21" s="56"/>
      <c r="J21" s="56"/>
      <c r="K21" s="56"/>
      <c r="L21" s="56"/>
      <c r="M21" s="56"/>
    </row>
    <row r="22" spans="1:24" ht="15" thickBot="1" x14ac:dyDescent="0.35"/>
    <row r="23" spans="1:24" x14ac:dyDescent="0.3">
      <c r="C23" s="207" t="s">
        <v>114</v>
      </c>
      <c r="D23" s="208"/>
      <c r="E23" s="208"/>
      <c r="F23" s="211" t="s">
        <v>115</v>
      </c>
      <c r="G23" s="202"/>
      <c r="H23" s="214"/>
      <c r="I23" s="209" t="s">
        <v>114</v>
      </c>
      <c r="J23" s="209"/>
      <c r="K23" s="209" t="s">
        <v>115</v>
      </c>
      <c r="L23" s="210"/>
    </row>
    <row r="24" spans="1:24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4" ht="15" thickBot="1" x14ac:dyDescent="0.35">
      <c r="B25" s="31" t="s">
        <v>43</v>
      </c>
      <c r="C25" s="144">
        <f>E8-D19</f>
        <v>1695.4643449419573</v>
      </c>
      <c r="D25" s="145">
        <f>E8-F19</f>
        <v>1469.4024322830292</v>
      </c>
      <c r="E25" s="146">
        <f>E8-H19</f>
        <v>1243.3405196241019</v>
      </c>
      <c r="F25" s="74">
        <f>H8-J19</f>
        <v>1893.1333333333337</v>
      </c>
      <c r="G25" s="74">
        <f>H8-L19</f>
        <v>1640.715555555556</v>
      </c>
      <c r="H25" s="74">
        <f>H8-N19</f>
        <v>1388.2977777777787</v>
      </c>
      <c r="I25" s="147">
        <f>+E8-N36</f>
        <v>2260.6191265892758</v>
      </c>
      <c r="J25" s="147">
        <f>+E8-N37</f>
        <v>2825.7739082365952</v>
      </c>
      <c r="K25" s="147">
        <f>+H8-O36</f>
        <v>2524.1777777777788</v>
      </c>
      <c r="L25" s="148">
        <f>+H8-O37</f>
        <v>3155.2222222222231</v>
      </c>
    </row>
    <row r="26" spans="1:24" ht="15" thickBot="1" x14ac:dyDescent="0.35">
      <c r="C26" s="75"/>
      <c r="D26" s="75"/>
      <c r="E26" s="75"/>
      <c r="F26" s="73"/>
      <c r="G26" s="73"/>
      <c r="H26" s="73"/>
    </row>
    <row r="27" spans="1:24" s="77" customFormat="1" ht="15" thickBot="1" x14ac:dyDescent="0.35">
      <c r="B27"/>
      <c r="C27"/>
      <c r="D27"/>
      <c r="E27"/>
      <c r="F27"/>
      <c r="G27"/>
      <c r="H27"/>
      <c r="I27"/>
      <c r="J27" s="50"/>
      <c r="K27" s="201" t="s">
        <v>116</v>
      </c>
      <c r="L27" s="202"/>
      <c r="M27" s="202"/>
      <c r="N27" s="202"/>
      <c r="O27" s="203"/>
    </row>
    <row r="28" spans="1:24" s="77" customFormat="1" ht="28.95" x14ac:dyDescent="0.3">
      <c r="A28" s="113" t="s">
        <v>35</v>
      </c>
      <c r="B28" s="38" t="s">
        <v>55</v>
      </c>
      <c r="C28" s="39" t="s">
        <v>39</v>
      </c>
      <c r="D28" s="40"/>
      <c r="E28" s="40"/>
      <c r="F28" s="95" t="s">
        <v>97</v>
      </c>
      <c r="G28" s="96"/>
      <c r="H28" s="97"/>
      <c r="I28"/>
      <c r="J28" s="50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4" s="77" customFormat="1" x14ac:dyDescent="0.3">
      <c r="B29" s="37" t="s">
        <v>59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I29"/>
      <c r="J29" s="50"/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4" s="77" customFormat="1" x14ac:dyDescent="0.3">
      <c r="B30">
        <v>1</v>
      </c>
      <c r="C30" s="141">
        <f>(C$25*'2.5 GPM (Obsolete)'!$D$27*'2.5 GPM (Obsolete)'!$E$27*('2.5 GPM (Obsolete)'!$G$27-$Q5))/('2.5 GPM (Obsolete)'!$H$27*'2.5 GPM (Obsolete)'!$C$27*100000)</f>
        <v>10.029859287025202</v>
      </c>
      <c r="D30" s="141">
        <f>(D$25*'2.5 GPM (Obsolete)'!$D$27*'2.5 GPM (Obsolete)'!$E$27*('2.5 GPM (Obsolete)'!$G$27-$Q5))/('2.5 GPM (Obsolete)'!$H$27*'2.5 GPM (Obsolete)'!$C$27*100000)</f>
        <v>8.6925447154218372</v>
      </c>
      <c r="E30" s="141">
        <f>(E$25*'2.5 GPM (Obsolete)'!$D$27*'2.5 GPM (Obsolete)'!$E$27*('2.5 GPM (Obsolete)'!$G$27-$Q5))/('2.5 GPM (Obsolete)'!$H$27*'2.5 GPM (Obsolete)'!$C$27*100000)</f>
        <v>7.3552301438184804</v>
      </c>
      <c r="F30" s="139">
        <f>(F$25*'2.5 GPM (Obsolete)'!$D$27*'2.5 GPM (Obsolete)'!$E$27*('2.5 GPM (Obsolete)'!$G$27-$V5))/('2.5 GPM (Obsolete)'!$H$27*'2.5 GPM (Obsolete)'!$C$27*100000)</f>
        <v>11.199209864729559</v>
      </c>
      <c r="G30" s="139">
        <f>(G$25*'2.5 GPM (Obsolete)'!$D$27*'2.5 GPM (Obsolete)'!$E$27*('2.5 GPM (Obsolete)'!$G$27-$V5))/('2.5 GPM (Obsolete)'!$H$27*'2.5 GPM (Obsolete)'!$C$27*100000)</f>
        <v>9.7059818827656201</v>
      </c>
      <c r="H30" s="139">
        <f>(H$25*'2.5 GPM (Obsolete)'!$D$27*'2.5 GPM (Obsolete)'!$E$27*('2.5 GPM (Obsolete)'!$G$27-$V5))/('2.5 GPM (Obsolete)'!$H$27*'2.5 GPM (Obsolete)'!$C$27*100000)</f>
        <v>8.2127539008016814</v>
      </c>
      <c r="I30"/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4" s="77" customFormat="1" x14ac:dyDescent="0.3">
      <c r="B31">
        <v>2</v>
      </c>
      <c r="C31" s="141">
        <f>(C$25*'2.5 GPM (Obsolete)'!$D$27*'2.5 GPM (Obsolete)'!$E$27*('2.5 GPM (Obsolete)'!$G$27-$Q6))/('2.5 GPM (Obsolete)'!$H$27*'2.5 GPM (Obsolete)'!$C$27*100000)</f>
        <v>8.9538583396431832</v>
      </c>
      <c r="D31" s="141">
        <f>(D$25*'2.5 GPM (Obsolete)'!$D$27*'2.5 GPM (Obsolete)'!$E$27*('2.5 GPM (Obsolete)'!$G$27-$Q6))/('2.5 GPM (Obsolete)'!$H$27*'2.5 GPM (Obsolete)'!$C$27*100000)</f>
        <v>7.7600105610240879</v>
      </c>
      <c r="E31" s="141">
        <f>(E$25*'2.5 GPM (Obsolete)'!$D$27*'2.5 GPM (Obsolete)'!$E$27*('2.5 GPM (Obsolete)'!$G$27-$Q6))/('2.5 GPM (Obsolete)'!$H$27*'2.5 GPM (Obsolete)'!$C$27*100000)</f>
        <v>6.5661627824049997</v>
      </c>
      <c r="F31" s="139">
        <f>(F$25*'2.5 GPM (Obsolete)'!$D$27*'2.5 GPM (Obsolete)'!$E$27*('2.5 GPM (Obsolete)'!$G$27-$V6))/('2.5 GPM (Obsolete)'!$H$27*'2.5 GPM (Obsolete)'!$C$27*100000)</f>
        <v>9.9952279903527472</v>
      </c>
      <c r="G31" s="139">
        <f>(G$25*'2.5 GPM (Obsolete)'!$D$27*'2.5 GPM (Obsolete)'!$E$27*('2.5 GPM (Obsolete)'!$G$27-$V6))/('2.5 GPM (Obsolete)'!$H$27*'2.5 GPM (Obsolete)'!$C$27*100000)</f>
        <v>8.6625309249723816</v>
      </c>
      <c r="H31" s="139">
        <f>(H$25*'2.5 GPM (Obsolete)'!$D$27*'2.5 GPM (Obsolete)'!$E$27*('2.5 GPM (Obsolete)'!$G$27-$V6))/('2.5 GPM (Obsolete)'!$H$27*'2.5 GPM (Obsolete)'!$C$27*100000)</f>
        <v>7.3298338595920187</v>
      </c>
      <c r="I31"/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4" s="77" customFormat="1" x14ac:dyDescent="0.3">
      <c r="B32">
        <v>3</v>
      </c>
      <c r="C32" s="141">
        <f>(C$25*'2.5 GPM (Obsolete)'!$D$27*'2.5 GPM (Obsolete)'!$E$27*('2.5 GPM (Obsolete)'!$G$27-$Q7))/('2.5 GPM (Obsolete)'!$H$27*'2.5 GPM (Obsolete)'!$C$27*100000)</f>
        <v>8.9921124348286998</v>
      </c>
      <c r="D32" s="141">
        <f>(D$25*'2.5 GPM (Obsolete)'!$D$27*'2.5 GPM (Obsolete)'!$E$27*('2.5 GPM (Obsolete)'!$G$27-$Q7))/('2.5 GPM (Obsolete)'!$H$27*'2.5 GPM (Obsolete)'!$C$27*100000)</f>
        <v>7.7931641101848701</v>
      </c>
      <c r="E32" s="141">
        <f>(E$25*'2.5 GPM (Obsolete)'!$D$27*'2.5 GPM (Obsolete)'!$E$27*('2.5 GPM (Obsolete)'!$G$27-$Q7))/('2.5 GPM (Obsolete)'!$H$27*'2.5 GPM (Obsolete)'!$C$27*100000)</f>
        <v>6.5942157855410457</v>
      </c>
      <c r="F32" s="139">
        <f>(F$25*'2.5 GPM (Obsolete)'!$D$27*'2.5 GPM (Obsolete)'!$E$27*('2.5 GPM (Obsolete)'!$G$27-$V7))/('2.5 GPM (Obsolete)'!$H$27*'2.5 GPM (Obsolete)'!$C$27*100000)</f>
        <v>10.038997661717049</v>
      </c>
      <c r="G32" s="139">
        <f>(G$25*'2.5 GPM (Obsolete)'!$D$27*'2.5 GPM (Obsolete)'!$E$27*('2.5 GPM (Obsolete)'!$G$27-$V7))/('2.5 GPM (Obsolete)'!$H$27*'2.5 GPM (Obsolete)'!$C$27*100000)</f>
        <v>8.7004646401547774</v>
      </c>
      <c r="H32" s="139">
        <f>(H$25*'2.5 GPM (Obsolete)'!$D$27*'2.5 GPM (Obsolete)'!$E$27*('2.5 GPM (Obsolete)'!$G$27-$V7))/('2.5 GPM (Obsolete)'!$H$27*'2.5 GPM (Obsolete)'!$C$27*100000)</f>
        <v>7.3619316185925072</v>
      </c>
      <c r="I32"/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s="77" customFormat="1" x14ac:dyDescent="0.3">
      <c r="B33">
        <v>4</v>
      </c>
      <c r="C33" s="141">
        <f>(C$25*'2.5 GPM (Obsolete)'!$D$27*'2.5 GPM (Obsolete)'!$E$27*('2.5 GPM (Obsolete)'!$G$27-$Q8))/('2.5 GPM (Obsolete)'!$H$27*'2.5 GPM (Obsolete)'!$C$27*100000)</f>
        <v>8.5492666982431249</v>
      </c>
      <c r="D33" s="141">
        <f>(D$25*'2.5 GPM (Obsolete)'!$D$27*'2.5 GPM (Obsolete)'!$E$27*('2.5 GPM (Obsolete)'!$G$27-$Q8))/('2.5 GPM (Obsolete)'!$H$27*'2.5 GPM (Obsolete)'!$C$27*100000)</f>
        <v>7.409364471810707</v>
      </c>
      <c r="E33" s="141">
        <f>(E$25*'2.5 GPM (Obsolete)'!$D$27*'2.5 GPM (Obsolete)'!$E$27*('2.5 GPM (Obsolete)'!$G$27-$Q8))/('2.5 GPM (Obsolete)'!$H$27*'2.5 GPM (Obsolete)'!$C$27*100000)</f>
        <v>6.2694622453782918</v>
      </c>
      <c r="F33" s="139">
        <f>(F$25*'2.5 GPM (Obsolete)'!$D$27*'2.5 GPM (Obsolete)'!$E$27*('2.5 GPM (Obsolete)'!$G$27-$V8))/('2.5 GPM (Obsolete)'!$H$27*'2.5 GPM (Obsolete)'!$C$27*100000)</f>
        <v>9.543069241908599</v>
      </c>
      <c r="G33" s="139">
        <f>(G$25*'2.5 GPM (Obsolete)'!$D$27*'2.5 GPM (Obsolete)'!$E$27*('2.5 GPM (Obsolete)'!$G$27-$V8))/('2.5 GPM (Obsolete)'!$H$27*'2.5 GPM (Obsolete)'!$C$27*100000)</f>
        <v>8.2706600096541205</v>
      </c>
      <c r="H33" s="139">
        <f>(H$25*'2.5 GPM (Obsolete)'!$D$27*'2.5 GPM (Obsolete)'!$E$27*('2.5 GPM (Obsolete)'!$G$27-$V8))/('2.5 GPM (Obsolete)'!$H$27*'2.5 GPM (Obsolete)'!$C$27*100000)</f>
        <v>6.9982507773996439</v>
      </c>
      <c r="I33"/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s="77" customFormat="1" x14ac:dyDescent="0.3">
      <c r="B34">
        <v>5</v>
      </c>
      <c r="C34" s="141">
        <f>(C$25*'2.5 GPM (Obsolete)'!$D$27*'2.5 GPM (Obsolete)'!$E$27*('2.5 GPM (Obsolete)'!$G$27-$Q9))/('2.5 GPM (Obsolete)'!$H$27*'2.5 GPM (Obsolete)'!$C$27*100000)</f>
        <v>9.2140202687093726</v>
      </c>
      <c r="D34" s="141">
        <f>(D$25*'2.5 GPM (Obsolete)'!$D$27*'2.5 GPM (Obsolete)'!$E$27*('2.5 GPM (Obsolete)'!$G$27-$Q9))/('2.5 GPM (Obsolete)'!$H$27*'2.5 GPM (Obsolete)'!$C$27*100000)</f>
        <v>7.9854842328814533</v>
      </c>
      <c r="E34" s="141">
        <f>(E$25*'2.5 GPM (Obsolete)'!$D$27*'2.5 GPM (Obsolete)'!$E$27*('2.5 GPM (Obsolete)'!$G$27-$Q9))/('2.5 GPM (Obsolete)'!$H$27*'2.5 GPM (Obsolete)'!$C$27*100000)</f>
        <v>6.7569481970535392</v>
      </c>
      <c r="F34" s="139">
        <f>(F$25*'2.5 GPM (Obsolete)'!$D$27*'2.5 GPM (Obsolete)'!$E$27*('2.5 GPM (Obsolete)'!$G$27-$V9))/('2.5 GPM (Obsolete)'!$H$27*'2.5 GPM (Obsolete)'!$C$27*100000)</f>
        <v>10.287862583890885</v>
      </c>
      <c r="G34" s="139">
        <f>(G$25*'2.5 GPM (Obsolete)'!$D$27*'2.5 GPM (Obsolete)'!$E$27*('2.5 GPM (Obsolete)'!$G$27-$V9))/('2.5 GPM (Obsolete)'!$H$27*'2.5 GPM (Obsolete)'!$C$27*100000)</f>
        <v>8.9161475727054356</v>
      </c>
      <c r="H34" s="139">
        <f>(H$25*'2.5 GPM (Obsolete)'!$D$27*'2.5 GPM (Obsolete)'!$E$27*('2.5 GPM (Obsolete)'!$G$27-$V9))/('2.5 GPM (Obsolete)'!$H$27*'2.5 GPM (Obsolete)'!$C$27*100000)</f>
        <v>7.5444325615199874</v>
      </c>
      <c r="I34"/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s="77" customFormat="1" x14ac:dyDescent="0.3">
      <c r="B35">
        <v>6</v>
      </c>
      <c r="C35" s="141">
        <f>(C$25*'2.5 GPM (Obsolete)'!$D$27*'2.5 GPM (Obsolete)'!$E$27*('2.5 GPM (Obsolete)'!$G$27-$Q10))/('2.5 GPM (Obsolete)'!$H$27*'2.5 GPM (Obsolete)'!$C$27*100000)</f>
        <v>8.1314723312160169</v>
      </c>
      <c r="D35" s="141">
        <f>(D$25*'2.5 GPM (Obsolete)'!$D$27*'2.5 GPM (Obsolete)'!$E$27*('2.5 GPM (Obsolete)'!$G$27-$Q10))/('2.5 GPM (Obsolete)'!$H$27*'2.5 GPM (Obsolete)'!$C$27*100000)</f>
        <v>7.0472760203872129</v>
      </c>
      <c r="E35" s="141">
        <f>(E$25*'2.5 GPM (Obsolete)'!$D$27*'2.5 GPM (Obsolete)'!$E$27*('2.5 GPM (Obsolete)'!$G$27-$Q10))/('2.5 GPM (Obsolete)'!$H$27*'2.5 GPM (Obsolete)'!$C$27*100000)</f>
        <v>5.9630797095584125</v>
      </c>
      <c r="F35" s="139">
        <f>(F$25*'2.5 GPM (Obsolete)'!$D$27*'2.5 GPM (Obsolete)'!$E$27*('2.5 GPM (Obsolete)'!$G$27-$V10))/('2.5 GPM (Obsolete)'!$H$27*'2.5 GPM (Obsolete)'!$C$27*100000)</f>
        <v>9.0848041188421984</v>
      </c>
      <c r="G35" s="139">
        <f>(G$25*'2.5 GPM (Obsolete)'!$D$27*'2.5 GPM (Obsolete)'!$E$27*('2.5 GPM (Obsolete)'!$G$27-$V10))/('2.5 GPM (Obsolete)'!$H$27*'2.5 GPM (Obsolete)'!$C$27*100000)</f>
        <v>7.8734969029965729</v>
      </c>
      <c r="H35" s="139">
        <f>(H$25*'2.5 GPM (Obsolete)'!$D$27*'2.5 GPM (Obsolete)'!$E$27*('2.5 GPM (Obsolete)'!$G$27-$V10))/('2.5 GPM (Obsolete)'!$H$27*'2.5 GPM (Obsolete)'!$C$27*100000)</f>
        <v>6.6621896871509501</v>
      </c>
      <c r="I35"/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s="77" customFormat="1" x14ac:dyDescent="0.3">
      <c r="B36">
        <v>7</v>
      </c>
      <c r="C36" s="141">
        <f>(C$25*'2.5 GPM (Obsolete)'!$D$27*'2.5 GPM (Obsolete)'!$E$27*('2.5 GPM (Obsolete)'!$G$27-$Q11))/('2.5 GPM (Obsolete)'!$H$27*'2.5 GPM (Obsolete)'!$C$27*100000)</f>
        <v>7.9825948475733925</v>
      </c>
      <c r="D36" s="141">
        <f>(D$25*'2.5 GPM (Obsolete)'!$D$27*'2.5 GPM (Obsolete)'!$E$27*('2.5 GPM (Obsolete)'!$G$27-$Q11))/('2.5 GPM (Obsolete)'!$H$27*'2.5 GPM (Obsolete)'!$C$27*100000)</f>
        <v>6.9182488678969385</v>
      </c>
      <c r="E36" s="141">
        <f>(E$25*'2.5 GPM (Obsolete)'!$D$27*'2.5 GPM (Obsolete)'!$E$27*('2.5 GPM (Obsolete)'!$G$27-$Q11))/('2.5 GPM (Obsolete)'!$H$27*'2.5 GPM (Obsolete)'!$C$27*100000)</f>
        <v>5.853902888220488</v>
      </c>
      <c r="F36" s="139">
        <f>(F$25*'2.5 GPM (Obsolete)'!$D$27*'2.5 GPM (Obsolete)'!$E$27*('2.5 GPM (Obsolete)'!$G$27-$V11))/('2.5 GPM (Obsolete)'!$H$27*'2.5 GPM (Obsolete)'!$C$27*100000)</f>
        <v>8.9169614157886112</v>
      </c>
      <c r="G36" s="139">
        <f>(G$25*'2.5 GPM (Obsolete)'!$D$27*'2.5 GPM (Obsolete)'!$E$27*('2.5 GPM (Obsolete)'!$G$27-$V11))/('2.5 GPM (Obsolete)'!$H$27*'2.5 GPM (Obsolete)'!$C$27*100000)</f>
        <v>7.7280332270167982</v>
      </c>
      <c r="H36" s="139">
        <f>(H$25*'2.5 GPM (Obsolete)'!$D$27*'2.5 GPM (Obsolete)'!$E$27*('2.5 GPM (Obsolete)'!$G$27-$V11))/('2.5 GPM (Obsolete)'!$H$27*'2.5 GPM (Obsolete)'!$C$27*100000)</f>
        <v>6.5391050382449851</v>
      </c>
      <c r="I36"/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s="77" customFormat="1" ht="15" thickBot="1" x14ac:dyDescent="0.35">
      <c r="B37">
        <v>8</v>
      </c>
      <c r="C37" s="141">
        <f>(C$25*'2.5 GPM (Obsolete)'!$D$27*'2.5 GPM (Obsolete)'!$E$27*('2.5 GPM (Obsolete)'!$G$27-$Q12))/('2.5 GPM (Obsolete)'!$H$27*'2.5 GPM (Obsolete)'!$C$27*100000)</f>
        <v>7.7692130453173744</v>
      </c>
      <c r="D37" s="141">
        <f>(D$25*'2.5 GPM (Obsolete)'!$D$27*'2.5 GPM (Obsolete)'!$E$27*('2.5 GPM (Obsolete)'!$G$27-$Q12))/('2.5 GPM (Obsolete)'!$H$27*'2.5 GPM (Obsolete)'!$C$27*100000)</f>
        <v>6.7333179726083889</v>
      </c>
      <c r="E37" s="141">
        <f>(E$25*'2.5 GPM (Obsolete)'!$D$27*'2.5 GPM (Obsolete)'!$E$27*('2.5 GPM (Obsolete)'!$G$27-$Q12))/('2.5 GPM (Obsolete)'!$H$27*'2.5 GPM (Obsolete)'!$C$27*100000)</f>
        <v>5.6974228998994079</v>
      </c>
      <c r="F37" s="139">
        <f>(F$25*'2.5 GPM (Obsolete)'!$D$27*'2.5 GPM (Obsolete)'!$E$27*('2.5 GPM (Obsolete)'!$G$27-$V12))/('2.5 GPM (Obsolete)'!$H$27*'2.5 GPM (Obsolete)'!$C$27*100000)</f>
        <v>8.6817050432684137</v>
      </c>
      <c r="G37" s="139">
        <f>(G$25*'2.5 GPM (Obsolete)'!$D$27*'2.5 GPM (Obsolete)'!$E$27*('2.5 GPM (Obsolete)'!$G$27-$V12))/('2.5 GPM (Obsolete)'!$H$27*'2.5 GPM (Obsolete)'!$C$27*100000)</f>
        <v>7.5241443708326283</v>
      </c>
      <c r="H37" s="139">
        <f>(H$25*'2.5 GPM (Obsolete)'!$D$27*'2.5 GPM (Obsolete)'!$E$27*('2.5 GPM (Obsolete)'!$G$27-$V12))/('2.5 GPM (Obsolete)'!$H$27*'2.5 GPM (Obsolete)'!$C$27*100000)</f>
        <v>6.3665836983968411</v>
      </c>
      <c r="I37"/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s="77" customFormat="1" x14ac:dyDescent="0.3">
      <c r="B38">
        <v>9</v>
      </c>
      <c r="C38" s="141">
        <f>(C$25*'2.5 GPM (Obsolete)'!$D$27*'2.5 GPM (Obsolete)'!$E$27*('2.5 GPM (Obsolete)'!$G$27-$Q13))/('2.5 GPM (Obsolete)'!$H$27*'2.5 GPM (Obsolete)'!$C$27*100000)</f>
        <v>7.7594359604492196</v>
      </c>
      <c r="D38" s="141">
        <f>(D$25*'2.5 GPM (Obsolete)'!$D$27*'2.5 GPM (Obsolete)'!$E$27*('2.5 GPM (Obsolete)'!$G$27-$Q13))/('2.5 GPM (Obsolete)'!$H$27*'2.5 GPM (Obsolete)'!$C$27*100000)</f>
        <v>6.7248444990559877</v>
      </c>
      <c r="E38" s="141">
        <f>(E$25*'2.5 GPM (Obsolete)'!$D$27*'2.5 GPM (Obsolete)'!$E$27*('2.5 GPM (Obsolete)'!$G$27-$Q13))/('2.5 GPM (Obsolete)'!$H$27*'2.5 GPM (Obsolete)'!$C$27*100000)</f>
        <v>5.6902530376627602</v>
      </c>
      <c r="F38" s="139">
        <f>(F$25*'2.5 GPM (Obsolete)'!$D$27*'2.5 GPM (Obsolete)'!$E$27*('2.5 GPM (Obsolete)'!$G$27-$V13))/('2.5 GPM (Obsolete)'!$H$27*'2.5 GPM (Obsolete)'!$C$27*100000)</f>
        <v>8.6737998817573096</v>
      </c>
      <c r="G38" s="139">
        <f>(G$25*'2.5 GPM (Obsolete)'!$D$27*'2.5 GPM (Obsolete)'!$E$27*('2.5 GPM (Obsolete)'!$G$27-$V13))/('2.5 GPM (Obsolete)'!$H$27*'2.5 GPM (Obsolete)'!$C$27*100000)</f>
        <v>7.5172932308563354</v>
      </c>
      <c r="H38" s="139">
        <f>(H$25*'2.5 GPM (Obsolete)'!$D$27*'2.5 GPM (Obsolete)'!$E$27*('2.5 GPM (Obsolete)'!$G$27-$V13))/('2.5 GPM (Obsolete)'!$H$27*'2.5 GPM (Obsolete)'!$C$27*100000)</f>
        <v>6.3607865799553638</v>
      </c>
      <c r="I38"/>
      <c r="J38" s="26"/>
      <c r="K38" s="26"/>
      <c r="L38" s="26"/>
      <c r="M38" s="26"/>
      <c r="N38" s="26"/>
      <c r="O38" s="26"/>
    </row>
    <row r="39" spans="2:15" x14ac:dyDescent="0.3">
      <c r="B39">
        <v>10</v>
      </c>
      <c r="C39" s="141">
        <f>(C$25*'2.5 GPM (Obsolete)'!$D$27*'2.5 GPM (Obsolete)'!$E$27*('2.5 GPM (Obsolete)'!$G$27-$Q14))/('2.5 GPM (Obsolete)'!$H$27*'2.5 GPM (Obsolete)'!$C$27*100000)</f>
        <v>7.7051028810557671</v>
      </c>
      <c r="D39" s="141">
        <f>(D$25*'2.5 GPM (Obsolete)'!$D$27*'2.5 GPM (Obsolete)'!$E$27*('2.5 GPM (Obsolete)'!$G$27-$Q14))/('2.5 GPM (Obsolete)'!$H$27*'2.5 GPM (Obsolete)'!$C$27*100000)</f>
        <v>6.6777558302483282</v>
      </c>
      <c r="E39" s="141">
        <f>(E$25*'2.5 GPM (Obsolete)'!$D$27*'2.5 GPM (Obsolete)'!$E$27*('2.5 GPM (Obsolete)'!$G$27-$Q14))/('2.5 GPM (Obsolete)'!$H$27*'2.5 GPM (Obsolete)'!$C$27*100000)</f>
        <v>5.6504087794408955</v>
      </c>
      <c r="F39" s="139">
        <f>(F$25*'2.5 GPM (Obsolete)'!$D$27*'2.5 GPM (Obsolete)'!$E$27*('2.5 GPM (Obsolete)'!$G$27-$V14))/('2.5 GPM (Obsolete)'!$H$27*'2.5 GPM (Obsolete)'!$C$27*100000)</f>
        <v>8.6169132029851738</v>
      </c>
      <c r="G39" s="139">
        <f>(G$25*'2.5 GPM (Obsolete)'!$D$27*'2.5 GPM (Obsolete)'!$E$27*('2.5 GPM (Obsolete)'!$G$27-$V14))/('2.5 GPM (Obsolete)'!$H$27*'2.5 GPM (Obsolete)'!$C$27*100000)</f>
        <v>7.4679914425871514</v>
      </c>
      <c r="H39" s="139">
        <f>(H$25*'2.5 GPM (Obsolete)'!$D$27*'2.5 GPM (Obsolete)'!$E$27*('2.5 GPM (Obsolete)'!$G$27-$V14))/('2.5 GPM (Obsolete)'!$H$27*'2.5 GPM (Obsolete)'!$C$27*100000)</f>
        <v>6.3190696821891308</v>
      </c>
      <c r="J39" s="26"/>
      <c r="K39" s="26"/>
      <c r="L39" s="26"/>
      <c r="M39" s="26"/>
      <c r="N39" s="26"/>
      <c r="O39" s="26"/>
    </row>
    <row r="40" spans="2:15" x14ac:dyDescent="0.3">
      <c r="B40">
        <v>11</v>
      </c>
      <c r="C40" s="141">
        <f>(C$25*'2.5 GPM (Obsolete)'!$D$27*'2.5 GPM (Obsolete)'!$E$27*('2.5 GPM (Obsolete)'!$G$27-$Q15))/('2.5 GPM (Obsolete)'!$H$27*'2.5 GPM (Obsolete)'!$C$27*100000)</f>
        <v>7.9250275317601977</v>
      </c>
      <c r="D40" s="141">
        <f>(D$25*'2.5 GPM (Obsolete)'!$D$27*'2.5 GPM (Obsolete)'!$E$27*('2.5 GPM (Obsolete)'!$G$27-$Q15))/('2.5 GPM (Obsolete)'!$H$27*'2.5 GPM (Obsolete)'!$C$27*100000)</f>
        <v>6.8683571941921686</v>
      </c>
      <c r="E40" s="141">
        <f>(E$25*'2.5 GPM (Obsolete)'!$D$27*'2.5 GPM (Obsolete)'!$E$27*('2.5 GPM (Obsolete)'!$G$27-$Q15))/('2.5 GPM (Obsolete)'!$H$27*'2.5 GPM (Obsolete)'!$C$27*100000)</f>
        <v>5.811686856624144</v>
      </c>
      <c r="F40" s="139">
        <f>(F$25*'2.5 GPM (Obsolete)'!$D$27*'2.5 GPM (Obsolete)'!$E$27*('2.5 GPM (Obsolete)'!$G$27-$V15))/('2.5 GPM (Obsolete)'!$H$27*'2.5 GPM (Obsolete)'!$C$27*100000)</f>
        <v>8.8891224477741666</v>
      </c>
      <c r="G40" s="139">
        <f>(G$25*'2.5 GPM (Obsolete)'!$D$27*'2.5 GPM (Obsolete)'!$E$27*('2.5 GPM (Obsolete)'!$G$27-$V15))/('2.5 GPM (Obsolete)'!$H$27*'2.5 GPM (Obsolete)'!$C$27*100000)</f>
        <v>7.7039061214042794</v>
      </c>
      <c r="H40" s="139">
        <f>(H$25*'2.5 GPM (Obsolete)'!$D$27*'2.5 GPM (Obsolete)'!$E$27*('2.5 GPM (Obsolete)'!$G$27-$V15))/('2.5 GPM (Obsolete)'!$H$27*'2.5 GPM (Obsolete)'!$C$27*100000)</f>
        <v>6.5186897950343932</v>
      </c>
      <c r="J40" s="26"/>
      <c r="K40" s="26"/>
      <c r="L40" s="26"/>
      <c r="M40" s="26"/>
      <c r="N40" s="26"/>
      <c r="O40" s="26"/>
    </row>
    <row r="41" spans="2:15" x14ac:dyDescent="0.3">
      <c r="B41">
        <v>12</v>
      </c>
      <c r="C41" s="141">
        <f>(C$25*'2.5 GPM (Obsolete)'!$D$27*'2.5 GPM (Obsolete)'!$E$27*('2.5 GPM (Obsolete)'!$G$27-$Q16))/('2.5 GPM (Obsolete)'!$H$27*'2.5 GPM (Obsolete)'!$C$27*100000)</f>
        <v>8.3132019653486626</v>
      </c>
      <c r="D41" s="141">
        <f>(D$25*'2.5 GPM (Obsolete)'!$D$27*'2.5 GPM (Obsolete)'!$E$27*('2.5 GPM (Obsolete)'!$G$27-$Q16))/('2.5 GPM (Obsolete)'!$H$27*'2.5 GPM (Obsolete)'!$C$27*100000)</f>
        <v>7.2047750366355059</v>
      </c>
      <c r="E41" s="141">
        <f>(E$25*'2.5 GPM (Obsolete)'!$D$27*'2.5 GPM (Obsolete)'!$E$27*('2.5 GPM (Obsolete)'!$G$27-$Q16))/('2.5 GPM (Obsolete)'!$H$27*'2.5 GPM (Obsolete)'!$C$27*100000)</f>
        <v>6.0963481079223527</v>
      </c>
      <c r="F41" s="139">
        <f>(F$25*'2.5 GPM (Obsolete)'!$D$27*'2.5 GPM (Obsolete)'!$E$27*('2.5 GPM (Obsolete)'!$G$27-$V16))/('2.5 GPM (Obsolete)'!$H$27*'2.5 GPM (Obsolete)'!$C$27*100000)</f>
        <v>9.300567074266251</v>
      </c>
      <c r="G41" s="139">
        <f>(G$25*'2.5 GPM (Obsolete)'!$D$27*'2.5 GPM (Obsolete)'!$E$27*('2.5 GPM (Obsolete)'!$G$27-$V16))/('2.5 GPM (Obsolete)'!$H$27*'2.5 GPM (Obsolete)'!$C$27*100000)</f>
        <v>8.0604914643640857</v>
      </c>
      <c r="H41" s="139">
        <f>(H$25*'2.5 GPM (Obsolete)'!$D$27*'2.5 GPM (Obsolete)'!$E$27*('2.5 GPM (Obsolete)'!$G$27-$V16))/('2.5 GPM (Obsolete)'!$H$27*'2.5 GPM (Obsolete)'!$C$27*100000)</f>
        <v>6.8204158544619222</v>
      </c>
      <c r="J41" s="26"/>
      <c r="K41" s="26"/>
      <c r="L41" s="26"/>
      <c r="M41" s="26"/>
      <c r="N41" s="26"/>
      <c r="O41" s="26"/>
    </row>
    <row r="42" spans="2:15" x14ac:dyDescent="0.3">
      <c r="B42">
        <v>13</v>
      </c>
      <c r="C42" s="141">
        <f>(C$25*'2.5 GPM (Obsolete)'!$D$27*'2.5 GPM (Obsolete)'!$E$27*('2.5 GPM (Obsolete)'!$G$27-$Q17))/('2.5 GPM (Obsolete)'!$H$27*'2.5 GPM (Obsolete)'!$C$27*100000)</f>
        <v>7.7566040588409093</v>
      </c>
      <c r="D42" s="141">
        <f>(D$25*'2.5 GPM (Obsolete)'!$D$27*'2.5 GPM (Obsolete)'!$E$27*('2.5 GPM (Obsolete)'!$G$27-$Q17))/('2.5 GPM (Obsolete)'!$H$27*'2.5 GPM (Obsolete)'!$C$27*100000)</f>
        <v>6.7223901843287859</v>
      </c>
      <c r="E42" s="141">
        <f>(E$25*'2.5 GPM (Obsolete)'!$D$27*'2.5 GPM (Obsolete)'!$E$27*('2.5 GPM (Obsolete)'!$G$27-$Q17))/('2.5 GPM (Obsolete)'!$H$27*'2.5 GPM (Obsolete)'!$C$27*100000)</f>
        <v>5.688176309816666</v>
      </c>
      <c r="F42" s="139">
        <f>(F$25*'2.5 GPM (Obsolete)'!$D$27*'2.5 GPM (Obsolete)'!$E$27*('2.5 GPM (Obsolete)'!$G$27-$V17))/('2.5 GPM (Obsolete)'!$H$27*'2.5 GPM (Obsolete)'!$C$27*100000)</f>
        <v>8.7001827911939031</v>
      </c>
      <c r="G42" s="139">
        <f>(G$25*'2.5 GPM (Obsolete)'!$D$27*'2.5 GPM (Obsolete)'!$E$27*('2.5 GPM (Obsolete)'!$G$27-$V17))/('2.5 GPM (Obsolete)'!$H$27*'2.5 GPM (Obsolete)'!$C$27*100000)</f>
        <v>7.5401584190347171</v>
      </c>
      <c r="H42" s="139">
        <f>(H$25*'2.5 GPM (Obsolete)'!$D$27*'2.5 GPM (Obsolete)'!$E$27*('2.5 GPM (Obsolete)'!$G$27-$V17))/('2.5 GPM (Obsolete)'!$H$27*'2.5 GPM (Obsolete)'!$C$27*100000)</f>
        <v>6.3801340468755328</v>
      </c>
      <c r="J42" s="26"/>
      <c r="K42" s="26"/>
      <c r="L42" s="26"/>
      <c r="M42" s="26"/>
      <c r="N42" s="26"/>
      <c r="O42" s="26"/>
    </row>
    <row r="43" spans="2:15" s="77" customFormat="1" x14ac:dyDescent="0.3">
      <c r="B43">
        <v>14</v>
      </c>
      <c r="C43" s="141">
        <f>(C$25*'2.5 GPM (Obsolete)'!$D$27*'2.5 GPM (Obsolete)'!$E$27*('2.5 GPM (Obsolete)'!$G$27-$Q18))/('2.5 GPM (Obsolete)'!$H$27*'2.5 GPM (Obsolete)'!$C$27*100000)</f>
        <v>8.0215709052105559</v>
      </c>
      <c r="D43" s="141">
        <f>(D$25*'2.5 GPM (Obsolete)'!$D$27*'2.5 GPM (Obsolete)'!$E$27*('2.5 GPM (Obsolete)'!$G$27-$Q18))/('2.5 GPM (Obsolete)'!$H$27*'2.5 GPM (Obsolete)'!$C$27*100000)</f>
        <v>6.9520281178491459</v>
      </c>
      <c r="E43" s="141">
        <f>(E$25*'2.5 GPM (Obsolete)'!$D$27*'2.5 GPM (Obsolete)'!$E$27*('2.5 GPM (Obsolete)'!$G$27-$Q18))/('2.5 GPM (Obsolete)'!$H$27*'2.5 GPM (Obsolete)'!$C$27*100000)</f>
        <v>5.8824853304877402</v>
      </c>
      <c r="F43" s="139">
        <f>(F$25*'2.5 GPM (Obsolete)'!$D$27*'2.5 GPM (Obsolete)'!$E$27*('2.5 GPM (Obsolete)'!$G$27-$V18))/('2.5 GPM (Obsolete)'!$H$27*'2.5 GPM (Obsolete)'!$C$27*100000)</f>
        <v>8.996870192118477</v>
      </c>
      <c r="G43" s="139">
        <f>(G$25*'2.5 GPM (Obsolete)'!$D$27*'2.5 GPM (Obsolete)'!$E$27*('2.5 GPM (Obsolete)'!$G$27-$V18))/('2.5 GPM (Obsolete)'!$H$27*'2.5 GPM (Obsolete)'!$C$27*100000)</f>
        <v>7.7972874998360151</v>
      </c>
      <c r="H43" s="139">
        <f>(H$25*'2.5 GPM (Obsolete)'!$D$27*'2.5 GPM (Obsolete)'!$E$27*('2.5 GPM (Obsolete)'!$G$27-$V18))/('2.5 GPM (Obsolete)'!$H$27*'2.5 GPM (Obsolete)'!$C$27*100000)</f>
        <v>6.597704807553554</v>
      </c>
      <c r="I43"/>
      <c r="J43" s="26"/>
      <c r="K43" s="26"/>
      <c r="L43" s="26"/>
      <c r="M43" s="26"/>
      <c r="N43" s="26"/>
      <c r="O43" s="26"/>
    </row>
    <row r="44" spans="2:15" s="77" customFormat="1" x14ac:dyDescent="0.3">
      <c r="B44">
        <v>15</v>
      </c>
      <c r="C44" s="141">
        <f>(C$25*'2.5 GPM (Obsolete)'!$D$27*'2.5 GPM (Obsolete)'!$E$27*('2.5 GPM (Obsolete)'!$G$27-$Q19))/('2.5 GPM (Obsolete)'!$H$27*'2.5 GPM (Obsolete)'!$C$27*100000)</f>
        <v>5.707812451616431</v>
      </c>
      <c r="D44" s="141">
        <f>(D$25*'2.5 GPM (Obsolete)'!$D$27*'2.5 GPM (Obsolete)'!$E$27*('2.5 GPM (Obsolete)'!$G$27-$Q19))/('2.5 GPM (Obsolete)'!$H$27*'2.5 GPM (Obsolete)'!$C$27*100000)</f>
        <v>4.9467707914009056</v>
      </c>
      <c r="E44" s="141">
        <f>(E$25*'2.5 GPM (Obsolete)'!$D$27*'2.5 GPM (Obsolete)'!$E$27*('2.5 GPM (Obsolete)'!$G$27-$Q19))/('2.5 GPM (Obsolete)'!$H$27*'2.5 GPM (Obsolete)'!$C$27*100000)</f>
        <v>4.1857291311853828</v>
      </c>
      <c r="F44" s="139">
        <f>(F$25*'2.5 GPM (Obsolete)'!$D$27*'2.5 GPM (Obsolete)'!$E$27*('2.5 GPM (Obsolete)'!$G$27-$V19))/('2.5 GPM (Obsolete)'!$H$27*'2.5 GPM (Obsolete)'!$C$27*100000)</f>
        <v>6.4449976768742276</v>
      </c>
      <c r="G44" s="139">
        <f>(G$25*'2.5 GPM (Obsolete)'!$D$27*'2.5 GPM (Obsolete)'!$E$27*('2.5 GPM (Obsolete)'!$G$27-$V19))/('2.5 GPM (Obsolete)'!$H$27*'2.5 GPM (Obsolete)'!$C$27*100000)</f>
        <v>5.5856646532909977</v>
      </c>
      <c r="H44" s="139">
        <f>(H$25*'2.5 GPM (Obsolete)'!$D$27*'2.5 GPM (Obsolete)'!$E$27*('2.5 GPM (Obsolete)'!$G$27-$V19))/('2.5 GPM (Obsolete)'!$H$27*'2.5 GPM (Obsolete)'!$C$27*100000)</f>
        <v>4.7263316297077695</v>
      </c>
      <c r="I44"/>
      <c r="J44" s="26"/>
      <c r="K44" s="26"/>
      <c r="L44" s="26"/>
      <c r="M44" s="26"/>
      <c r="N44" s="26"/>
      <c r="O44" s="26"/>
    </row>
    <row r="45" spans="2:15" x14ac:dyDescent="0.3">
      <c r="B45">
        <v>16</v>
      </c>
      <c r="C45" s="141">
        <f>(C$25*'2.5 GPM (Obsolete)'!$D$27*'2.5 GPM (Obsolete)'!$E$27*('2.5 GPM (Obsolete)'!$G$27-$Q20))/('2.5 GPM (Obsolete)'!$H$27*'2.5 GPM (Obsolete)'!$C$27*100000)</f>
        <v>9.9935204259455173</v>
      </c>
      <c r="D45" s="141">
        <f>(D$25*'2.5 GPM (Obsolete)'!$D$27*'2.5 GPM (Obsolete)'!$E$27*('2.5 GPM (Obsolete)'!$G$27-$Q20))/('2.5 GPM (Obsolete)'!$H$27*'2.5 GPM (Obsolete)'!$C$27*100000)</f>
        <v>8.6610510358194475</v>
      </c>
      <c r="E45" s="141">
        <f>(E$25*'2.5 GPM (Obsolete)'!$D$27*'2.5 GPM (Obsolete)'!$E$27*('2.5 GPM (Obsolete)'!$G$27-$Q20))/('2.5 GPM (Obsolete)'!$H$27*'2.5 GPM (Obsolete)'!$C$27*100000)</f>
        <v>7.3285816456933786</v>
      </c>
      <c r="F45" s="139">
        <f>(F$25*'2.5 GPM (Obsolete)'!$D$27*'2.5 GPM (Obsolete)'!$E$27*('2.5 GPM (Obsolete)'!$G$27-$V20))/('2.5 GPM (Obsolete)'!$H$27*'2.5 GPM (Obsolete)'!$C$27*100000)</f>
        <v>11.177856907788939</v>
      </c>
      <c r="G45" s="139">
        <f>(G$25*'2.5 GPM (Obsolete)'!$D$27*'2.5 GPM (Obsolete)'!$E$27*('2.5 GPM (Obsolete)'!$G$27-$V20))/('2.5 GPM (Obsolete)'!$H$27*'2.5 GPM (Obsolete)'!$C$27*100000)</f>
        <v>9.6874759867504174</v>
      </c>
      <c r="H45" s="139">
        <f>(H$25*'2.5 GPM (Obsolete)'!$D$27*'2.5 GPM (Obsolete)'!$E$27*('2.5 GPM (Obsolete)'!$G$27-$V20))/('2.5 GPM (Obsolete)'!$H$27*'2.5 GPM (Obsolete)'!$C$27*100000)</f>
        <v>8.1970950657118937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59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($I$25*'2.5 GPM (Obsolete)'!$D$27*'2.5 GPM (Obsolete)'!$E$27*('2.5 GPM (Obsolete)'!$G$27-$Q5))/('2.5 GPM (Obsolete)'!$H$27*'2.5 GPM (Obsolete)'!$C$27*100000)</f>
        <v>13.373145716033598</v>
      </c>
      <c r="D48" s="139">
        <f>($J$25*'2.5 GPM (Obsolete)'!$D$27*'2.5 GPM (Obsolete)'!$E$27*('2.5 GPM (Obsolete)'!$G$27-$Q5))/('2.5 GPM (Obsolete)'!$H$27*'2.5 GPM (Obsolete)'!$C$27*100000)</f>
        <v>16.716432145041999</v>
      </c>
      <c r="E48" s="127"/>
      <c r="F48" s="139">
        <f>($K$25*'2.5 GPM (Obsolete)'!$D$27*'2.5 GPM (Obsolete)'!$E$27*('2.5 GPM (Obsolete)'!$G$27-$Q5))/('2.5 GPM (Obsolete)'!$H$27*'2.5 GPM (Obsolete)'!$C$27*100000)</f>
        <v>14.932279762812588</v>
      </c>
      <c r="G48" s="139">
        <f>($L$25*'2.5 GPM (Obsolete)'!$D$27*'2.5 GPM (Obsolete)'!$E$27*('2.5 GPM (Obsolete)'!$G$27-$Q5))/('2.5 GPM (Obsolete)'!$H$27*'2.5 GPM (Obsolete)'!$C$27*100000)</f>
        <v>18.665349703515734</v>
      </c>
      <c r="H48" s="127"/>
    </row>
    <row r="49" spans="2:8" x14ac:dyDescent="0.3">
      <c r="B49" s="77">
        <v>2</v>
      </c>
      <c r="C49" s="139">
        <f>($I$25*'2.5 GPM (Obsolete)'!$D$27*'2.5 GPM (Obsolete)'!$E$27*('2.5 GPM (Obsolete)'!$G$27-$Q6))/('2.5 GPM (Obsolete)'!$H$27*'2.5 GPM (Obsolete)'!$C$27*100000)</f>
        <v>11.938477786190905</v>
      </c>
      <c r="D49" s="139">
        <f>($J$25*'2.5 GPM (Obsolete)'!$D$27*'2.5 GPM (Obsolete)'!$E$27*('2.5 GPM (Obsolete)'!$G$27-$Q6))/('2.5 GPM (Obsolete)'!$H$27*'2.5 GPM (Obsolete)'!$C$27*100000)</f>
        <v>14.923097232738634</v>
      </c>
      <c r="E49" s="127"/>
      <c r="F49" s="139">
        <f>($K$25*'2.5 GPM (Obsolete)'!$D$27*'2.5 GPM (Obsolete)'!$E$27*('2.5 GPM (Obsolete)'!$G$27-$Q6))/('2.5 GPM (Obsolete)'!$H$27*'2.5 GPM (Obsolete)'!$C$27*100000)</f>
        <v>13.330348298814441</v>
      </c>
      <c r="G49" s="139">
        <f>($L$25*'2.5 GPM (Obsolete)'!$D$27*'2.5 GPM (Obsolete)'!$E$27*('2.5 GPM (Obsolete)'!$G$27-$Q6))/('2.5 GPM (Obsolete)'!$H$27*'2.5 GPM (Obsolete)'!$C$27*100000)</f>
        <v>16.662935373518049</v>
      </c>
      <c r="H49" s="127"/>
    </row>
    <row r="50" spans="2:8" x14ac:dyDescent="0.3">
      <c r="B50" s="77">
        <v>3</v>
      </c>
      <c r="C50" s="139">
        <f>($I$25*'2.5 GPM (Obsolete)'!$D$27*'2.5 GPM (Obsolete)'!$E$27*('2.5 GPM (Obsolete)'!$G$27-$Q7))/('2.5 GPM (Obsolete)'!$H$27*'2.5 GPM (Obsolete)'!$C$27*100000)</f>
        <v>11.989483246438263</v>
      </c>
      <c r="D50" s="139">
        <f>($J$25*'2.5 GPM (Obsolete)'!$D$27*'2.5 GPM (Obsolete)'!$E$27*('2.5 GPM (Obsolete)'!$G$27-$Q7))/('2.5 GPM (Obsolete)'!$H$27*'2.5 GPM (Obsolete)'!$C$27*100000)</f>
        <v>14.986854058047829</v>
      </c>
      <c r="E50" s="127"/>
      <c r="F50" s="139">
        <f>($K$25*'2.5 GPM (Obsolete)'!$D$27*'2.5 GPM (Obsolete)'!$E$27*('2.5 GPM (Obsolete)'!$G$27-$Q7))/('2.5 GPM (Obsolete)'!$H$27*'2.5 GPM (Obsolete)'!$C$27*100000)</f>
        <v>13.387300329250435</v>
      </c>
      <c r="G50" s="139">
        <f>($L$25*'2.5 GPM (Obsolete)'!$D$27*'2.5 GPM (Obsolete)'!$E$27*('2.5 GPM (Obsolete)'!$G$27-$Q7))/('2.5 GPM (Obsolete)'!$H$27*'2.5 GPM (Obsolete)'!$C$27*100000)</f>
        <v>16.734125411563042</v>
      </c>
      <c r="H50" s="127"/>
    </row>
    <row r="51" spans="2:8" x14ac:dyDescent="0.3">
      <c r="B51" s="77">
        <v>4</v>
      </c>
      <c r="C51" s="139">
        <f>($I$25*'2.5 GPM (Obsolete)'!$D$27*'2.5 GPM (Obsolete)'!$E$27*('2.5 GPM (Obsolete)'!$G$27-$Q8))/('2.5 GPM (Obsolete)'!$H$27*'2.5 GPM (Obsolete)'!$C$27*100000)</f>
        <v>11.399022264324165</v>
      </c>
      <c r="D51" s="139">
        <f>($J$25*'2.5 GPM (Obsolete)'!$D$27*'2.5 GPM (Obsolete)'!$E$27*('2.5 GPM (Obsolete)'!$G$27-$Q8))/('2.5 GPM (Obsolete)'!$H$27*'2.5 GPM (Obsolete)'!$C$27*100000)</f>
        <v>14.248777830405206</v>
      </c>
      <c r="E51" s="127"/>
      <c r="F51" s="139">
        <f>($K$25*'2.5 GPM (Obsolete)'!$D$27*'2.5 GPM (Obsolete)'!$E$27*('2.5 GPM (Obsolete)'!$G$27-$Q8))/('2.5 GPM (Obsolete)'!$H$27*'2.5 GPM (Obsolete)'!$C$27*100000)</f>
        <v>12.72799931203488</v>
      </c>
      <c r="G51" s="139">
        <f>($L$25*'2.5 GPM (Obsolete)'!$D$27*'2.5 GPM (Obsolete)'!$E$27*('2.5 GPM (Obsolete)'!$G$27-$Q8))/('2.5 GPM (Obsolete)'!$H$27*'2.5 GPM (Obsolete)'!$C$27*100000)</f>
        <v>15.909999140043599</v>
      </c>
      <c r="H51" s="127"/>
    </row>
    <row r="52" spans="2:8" x14ac:dyDescent="0.3">
      <c r="B52" s="77">
        <v>5</v>
      </c>
      <c r="C52" s="139">
        <f>($I$25*'2.5 GPM (Obsolete)'!$D$27*'2.5 GPM (Obsolete)'!$E$27*('2.5 GPM (Obsolete)'!$G$27-$Q9))/('2.5 GPM (Obsolete)'!$H$27*'2.5 GPM (Obsolete)'!$C$27*100000)</f>
        <v>12.285360358279162</v>
      </c>
      <c r="D52" s="139">
        <f>($J$25*'2.5 GPM (Obsolete)'!$D$27*'2.5 GPM (Obsolete)'!$E$27*('2.5 GPM (Obsolete)'!$G$27-$Q9))/('2.5 GPM (Obsolete)'!$H$27*'2.5 GPM (Obsolete)'!$C$27*100000)</f>
        <v>15.356700447848951</v>
      </c>
      <c r="E52" s="127"/>
      <c r="F52" s="139">
        <f>($K$25*'2.5 GPM (Obsolete)'!$D$27*'2.5 GPM (Obsolete)'!$E$27*('2.5 GPM (Obsolete)'!$G$27-$Q9))/('2.5 GPM (Obsolete)'!$H$27*'2.5 GPM (Obsolete)'!$C$27*100000)</f>
        <v>13.717672846176217</v>
      </c>
      <c r="G52" s="139">
        <f>($L$25*'2.5 GPM (Obsolete)'!$D$27*'2.5 GPM (Obsolete)'!$E$27*('2.5 GPM (Obsolete)'!$G$27-$Q9))/('2.5 GPM (Obsolete)'!$H$27*'2.5 GPM (Obsolete)'!$C$27*100000)</f>
        <v>17.147091057720271</v>
      </c>
      <c r="H52" s="127"/>
    </row>
    <row r="53" spans="2:8" x14ac:dyDescent="0.3">
      <c r="B53" s="77">
        <v>6</v>
      </c>
      <c r="C53" s="139">
        <f>($I$25*'2.5 GPM (Obsolete)'!$D$27*'2.5 GPM (Obsolete)'!$E$27*('2.5 GPM (Obsolete)'!$G$27-$Q10))/('2.5 GPM (Obsolete)'!$H$27*'2.5 GPM (Obsolete)'!$C$27*100000)</f>
        <v>10.841963108288022</v>
      </c>
      <c r="D53" s="139">
        <f>($J$25*'2.5 GPM (Obsolete)'!$D$27*'2.5 GPM (Obsolete)'!$E$27*('2.5 GPM (Obsolete)'!$G$27-$Q10))/('2.5 GPM (Obsolete)'!$H$27*'2.5 GPM (Obsolete)'!$C$27*100000)</f>
        <v>13.552453885360027</v>
      </c>
      <c r="E53" s="127"/>
      <c r="F53" s="139">
        <f>($K$25*'2.5 GPM (Obsolete)'!$D$27*'2.5 GPM (Obsolete)'!$E$27*('2.5 GPM (Obsolete)'!$G$27-$Q10))/('2.5 GPM (Obsolete)'!$H$27*'2.5 GPM (Obsolete)'!$C$27*100000)</f>
        <v>12.105994337364262</v>
      </c>
      <c r="G53" s="139">
        <f>($L$25*'2.5 GPM (Obsolete)'!$D$27*'2.5 GPM (Obsolete)'!$E$27*('2.5 GPM (Obsolete)'!$G$27-$Q10))/('2.5 GPM (Obsolete)'!$H$27*'2.5 GPM (Obsolete)'!$C$27*100000)</f>
        <v>15.132492921705325</v>
      </c>
      <c r="H53" s="127"/>
    </row>
    <row r="54" spans="2:8" x14ac:dyDescent="0.3">
      <c r="B54" s="77">
        <v>7</v>
      </c>
      <c r="C54" s="139">
        <f>($I$25*'2.5 GPM (Obsolete)'!$D$27*'2.5 GPM (Obsolete)'!$E$27*('2.5 GPM (Obsolete)'!$G$27-$Q11))/('2.5 GPM (Obsolete)'!$H$27*'2.5 GPM (Obsolete)'!$C$27*100000)</f>
        <v>10.643459796764521</v>
      </c>
      <c r="D54" s="139">
        <f>($J$25*'2.5 GPM (Obsolete)'!$D$27*'2.5 GPM (Obsolete)'!$E$27*('2.5 GPM (Obsolete)'!$G$27-$Q11))/('2.5 GPM (Obsolete)'!$H$27*'2.5 GPM (Obsolete)'!$C$27*100000)</f>
        <v>13.304324745955654</v>
      </c>
      <c r="E54" s="127"/>
      <c r="F54" s="139">
        <f>($K$25*'2.5 GPM (Obsolete)'!$D$27*'2.5 GPM (Obsolete)'!$E$27*('2.5 GPM (Obsolete)'!$G$27-$Q11))/('2.5 GPM (Obsolete)'!$H$27*'2.5 GPM (Obsolete)'!$C$27*100000)</f>
        <v>11.884348133512624</v>
      </c>
      <c r="G54" s="139">
        <f>($L$25*'2.5 GPM (Obsolete)'!$D$27*'2.5 GPM (Obsolete)'!$E$27*('2.5 GPM (Obsolete)'!$G$27-$Q11))/('2.5 GPM (Obsolete)'!$H$27*'2.5 GPM (Obsolete)'!$C$27*100000)</f>
        <v>14.85543516689078</v>
      </c>
      <c r="H54" s="127"/>
    </row>
    <row r="55" spans="2:8" x14ac:dyDescent="0.3">
      <c r="B55" s="77">
        <v>8</v>
      </c>
      <c r="C55" s="139">
        <f>($I$25*'2.5 GPM (Obsolete)'!$D$27*'2.5 GPM (Obsolete)'!$E$27*('2.5 GPM (Obsolete)'!$G$27-$Q12))/('2.5 GPM (Obsolete)'!$H$27*'2.5 GPM (Obsolete)'!$C$27*100000)</f>
        <v>10.35895072708983</v>
      </c>
      <c r="D55" s="139">
        <f>($J$25*'2.5 GPM (Obsolete)'!$D$27*'2.5 GPM (Obsolete)'!$E$27*('2.5 GPM (Obsolete)'!$G$27-$Q12))/('2.5 GPM (Obsolete)'!$H$27*'2.5 GPM (Obsolete)'!$C$27*100000)</f>
        <v>12.948688408862289</v>
      </c>
      <c r="E55" s="127"/>
      <c r="F55" s="139">
        <f>($K$25*'2.5 GPM (Obsolete)'!$D$27*'2.5 GPM (Obsolete)'!$E$27*('2.5 GPM (Obsolete)'!$G$27-$Q12))/('2.5 GPM (Obsolete)'!$H$27*'2.5 GPM (Obsolete)'!$C$27*100000)</f>
        <v>11.566669023926128</v>
      </c>
      <c r="G55" s="139">
        <f>($L$25*'2.5 GPM (Obsolete)'!$D$27*'2.5 GPM (Obsolete)'!$E$27*('2.5 GPM (Obsolete)'!$G$27-$Q12))/('2.5 GPM (Obsolete)'!$H$27*'2.5 GPM (Obsolete)'!$C$27*100000)</f>
        <v>14.458336279907659</v>
      </c>
      <c r="H55" s="127"/>
    </row>
    <row r="56" spans="2:8" x14ac:dyDescent="0.3">
      <c r="B56" s="77">
        <v>9</v>
      </c>
      <c r="C56" s="139">
        <f>($I$25*'2.5 GPM (Obsolete)'!$D$27*'2.5 GPM (Obsolete)'!$E$27*('2.5 GPM (Obsolete)'!$G$27-$Q13))/('2.5 GPM (Obsolete)'!$H$27*'2.5 GPM (Obsolete)'!$C$27*100000)</f>
        <v>10.34591461393229</v>
      </c>
      <c r="D56" s="139">
        <f>($J$25*'2.5 GPM (Obsolete)'!$D$27*'2.5 GPM (Obsolete)'!$E$27*('2.5 GPM (Obsolete)'!$G$27-$Q13))/('2.5 GPM (Obsolete)'!$H$27*'2.5 GPM (Obsolete)'!$C$27*100000)</f>
        <v>12.932393267415362</v>
      </c>
      <c r="E56" s="127"/>
      <c r="F56" s="139">
        <f>($K$25*'2.5 GPM (Obsolete)'!$D$27*'2.5 GPM (Obsolete)'!$E$27*('2.5 GPM (Obsolete)'!$G$27-$Q13))/('2.5 GPM (Obsolete)'!$H$27*'2.5 GPM (Obsolete)'!$C$27*100000)</f>
        <v>11.552113070314205</v>
      </c>
      <c r="G56" s="139">
        <f>($L$25*'2.5 GPM (Obsolete)'!$D$27*'2.5 GPM (Obsolete)'!$E$27*('2.5 GPM (Obsolete)'!$G$27-$Q13))/('2.5 GPM (Obsolete)'!$H$27*'2.5 GPM (Obsolete)'!$C$27*100000)</f>
        <v>14.440141337892754</v>
      </c>
      <c r="H56" s="127"/>
    </row>
    <row r="57" spans="2:8" x14ac:dyDescent="0.3">
      <c r="B57" s="77">
        <v>10</v>
      </c>
      <c r="C57" s="139">
        <f>($I$25*'2.5 GPM (Obsolete)'!$D$27*'2.5 GPM (Obsolete)'!$E$27*('2.5 GPM (Obsolete)'!$G$27-$Q14))/('2.5 GPM (Obsolete)'!$H$27*'2.5 GPM (Obsolete)'!$C$27*100000)</f>
        <v>10.273470508074354</v>
      </c>
      <c r="D57" s="139">
        <f>($J$25*'2.5 GPM (Obsolete)'!$D$27*'2.5 GPM (Obsolete)'!$E$27*('2.5 GPM (Obsolete)'!$G$27-$Q14))/('2.5 GPM (Obsolete)'!$H$27*'2.5 GPM (Obsolete)'!$C$27*100000)</f>
        <v>12.841838135092942</v>
      </c>
      <c r="E57" s="127"/>
      <c r="F57" s="139">
        <f>($K$25*'2.5 GPM (Obsolete)'!$D$27*'2.5 GPM (Obsolete)'!$E$27*('2.5 GPM (Obsolete)'!$G$27-$Q14))/('2.5 GPM (Obsolete)'!$H$27*'2.5 GPM (Obsolete)'!$C$27*100000)</f>
        <v>11.471222928323112</v>
      </c>
      <c r="G57" s="139">
        <f>($L$25*'2.5 GPM (Obsolete)'!$D$27*'2.5 GPM (Obsolete)'!$E$27*('2.5 GPM (Obsolete)'!$G$27-$Q14))/('2.5 GPM (Obsolete)'!$H$27*'2.5 GPM (Obsolete)'!$C$27*100000)</f>
        <v>14.339028660403889</v>
      </c>
      <c r="H57" s="127"/>
    </row>
    <row r="58" spans="2:8" x14ac:dyDescent="0.3">
      <c r="B58" s="77">
        <v>11</v>
      </c>
      <c r="C58" s="139">
        <f>($I$25*'2.5 GPM (Obsolete)'!$D$27*'2.5 GPM (Obsolete)'!$E$27*('2.5 GPM (Obsolete)'!$G$27-$Q15))/('2.5 GPM (Obsolete)'!$H$27*'2.5 GPM (Obsolete)'!$C$27*100000)</f>
        <v>10.566703375680261</v>
      </c>
      <c r="D58" s="139">
        <f>($J$25*'2.5 GPM (Obsolete)'!$D$27*'2.5 GPM (Obsolete)'!$E$27*('2.5 GPM (Obsolete)'!$G$27-$Q15))/('2.5 GPM (Obsolete)'!$H$27*'2.5 GPM (Obsolete)'!$C$27*100000)</f>
        <v>13.208379219600326</v>
      </c>
      <c r="E58" s="127"/>
      <c r="F58" s="139">
        <f>($K$25*'2.5 GPM (Obsolete)'!$D$27*'2.5 GPM (Obsolete)'!$E$27*('2.5 GPM (Obsolete)'!$G$27-$Q15))/('2.5 GPM (Obsolete)'!$H$27*'2.5 GPM (Obsolete)'!$C$27*100000)</f>
        <v>11.798642916687815</v>
      </c>
      <c r="G58" s="139">
        <f>($L$25*'2.5 GPM (Obsolete)'!$D$27*'2.5 GPM (Obsolete)'!$E$27*('2.5 GPM (Obsolete)'!$G$27-$Q15))/('2.5 GPM (Obsolete)'!$H$27*'2.5 GPM (Obsolete)'!$C$27*100000)</f>
        <v>14.748303645859767</v>
      </c>
      <c r="H58" s="127"/>
    </row>
    <row r="59" spans="2:8" x14ac:dyDescent="0.3">
      <c r="B59" s="77">
        <v>12</v>
      </c>
      <c r="C59" s="139">
        <f>($I$25*'2.5 GPM (Obsolete)'!$D$27*'2.5 GPM (Obsolete)'!$E$27*('2.5 GPM (Obsolete)'!$G$27-$Q16))/('2.5 GPM (Obsolete)'!$H$27*'2.5 GPM (Obsolete)'!$C$27*100000)</f>
        <v>11.084269287131548</v>
      </c>
      <c r="D59" s="139">
        <f>($J$25*'2.5 GPM (Obsolete)'!$D$27*'2.5 GPM (Obsolete)'!$E$27*('2.5 GPM (Obsolete)'!$G$27-$Q16))/('2.5 GPM (Obsolete)'!$H$27*'2.5 GPM (Obsolete)'!$C$27*100000)</f>
        <v>13.855336608914437</v>
      </c>
      <c r="E59" s="127"/>
      <c r="F59" s="139">
        <f>($K$25*'2.5 GPM (Obsolete)'!$D$27*'2.5 GPM (Obsolete)'!$E$27*('2.5 GPM (Obsolete)'!$G$27-$Q16))/('2.5 GPM (Obsolete)'!$H$27*'2.5 GPM (Obsolete)'!$C$27*100000)</f>
        <v>12.376550250503806</v>
      </c>
      <c r="G59" s="139">
        <f>($L$25*'2.5 GPM (Obsolete)'!$D$27*'2.5 GPM (Obsolete)'!$E$27*('2.5 GPM (Obsolete)'!$G$27-$Q16))/('2.5 GPM (Obsolete)'!$H$27*'2.5 GPM (Obsolete)'!$C$27*100000)</f>
        <v>15.470687813129755</v>
      </c>
      <c r="H59" s="127"/>
    </row>
    <row r="60" spans="2:8" x14ac:dyDescent="0.3">
      <c r="B60" s="77">
        <v>13</v>
      </c>
      <c r="C60" s="139">
        <f>($I$25*'2.5 GPM (Obsolete)'!$D$27*'2.5 GPM (Obsolete)'!$E$27*('2.5 GPM (Obsolete)'!$G$27-$Q17))/('2.5 GPM (Obsolete)'!$H$27*'2.5 GPM (Obsolete)'!$C$27*100000)</f>
        <v>10.342138745121209</v>
      </c>
      <c r="D60" s="139">
        <f>($J$25*'2.5 GPM (Obsolete)'!$D$27*'2.5 GPM (Obsolete)'!$E$27*('2.5 GPM (Obsolete)'!$G$27-$Q17))/('2.5 GPM (Obsolete)'!$H$27*'2.5 GPM (Obsolete)'!$C$27*100000)</f>
        <v>12.927673431401514</v>
      </c>
      <c r="E60" s="127"/>
      <c r="F60" s="139">
        <f>($K$25*'2.5 GPM (Obsolete)'!$D$27*'2.5 GPM (Obsolete)'!$E$27*('2.5 GPM (Obsolete)'!$G$27-$Q17))/('2.5 GPM (Obsolete)'!$H$27*'2.5 GPM (Obsolete)'!$C$27*100000)</f>
        <v>11.547896984538131</v>
      </c>
      <c r="G60" s="139">
        <f>($L$25*'2.5 GPM (Obsolete)'!$D$27*'2.5 GPM (Obsolete)'!$E$27*('2.5 GPM (Obsolete)'!$G$27-$Q17))/('2.5 GPM (Obsolete)'!$H$27*'2.5 GPM (Obsolete)'!$C$27*100000)</f>
        <v>14.434871230672663</v>
      </c>
      <c r="H60" s="127"/>
    </row>
    <row r="61" spans="2:8" x14ac:dyDescent="0.3">
      <c r="B61" s="77">
        <v>14</v>
      </c>
      <c r="C61" s="139">
        <f>($I$25*'2.5 GPM (Obsolete)'!$D$27*'2.5 GPM (Obsolete)'!$E$27*('2.5 GPM (Obsolete)'!$G$27-$Q18))/('2.5 GPM (Obsolete)'!$H$27*'2.5 GPM (Obsolete)'!$C$27*100000)</f>
        <v>10.695427873614072</v>
      </c>
      <c r="D61" s="139">
        <f>($J$25*'2.5 GPM (Obsolete)'!$D$27*'2.5 GPM (Obsolete)'!$E$27*('2.5 GPM (Obsolete)'!$G$27-$Q18))/('2.5 GPM (Obsolete)'!$H$27*'2.5 GPM (Obsolete)'!$C$27*100000)</f>
        <v>13.369284842017592</v>
      </c>
      <c r="E61" s="127"/>
      <c r="F61" s="139">
        <f>($K$25*'2.5 GPM (Obsolete)'!$D$27*'2.5 GPM (Obsolete)'!$E$27*('2.5 GPM (Obsolete)'!$G$27-$Q18))/('2.5 GPM (Obsolete)'!$H$27*'2.5 GPM (Obsolete)'!$C$27*100000)</f>
        <v>11.942375009068346</v>
      </c>
      <c r="G61" s="139">
        <f>($L$25*'2.5 GPM (Obsolete)'!$D$27*'2.5 GPM (Obsolete)'!$E$27*('2.5 GPM (Obsolete)'!$G$27-$Q18))/('2.5 GPM (Obsolete)'!$H$27*'2.5 GPM (Obsolete)'!$C$27*100000)</f>
        <v>14.927968761335432</v>
      </c>
      <c r="H61" s="127"/>
    </row>
    <row r="62" spans="2:8" x14ac:dyDescent="0.3">
      <c r="B62" s="77">
        <v>15</v>
      </c>
      <c r="C62" s="139">
        <f>($I$25*'2.5 GPM (Obsolete)'!$D$27*'2.5 GPM (Obsolete)'!$E$27*('2.5 GPM (Obsolete)'!$G$27-$Q19))/('2.5 GPM (Obsolete)'!$H$27*'2.5 GPM (Obsolete)'!$C$27*100000)</f>
        <v>7.6104166021552393</v>
      </c>
      <c r="D62" s="139">
        <f>($J$25*'2.5 GPM (Obsolete)'!$D$27*'2.5 GPM (Obsolete)'!$E$27*('2.5 GPM (Obsolete)'!$G$27-$Q19))/('2.5 GPM (Obsolete)'!$H$27*'2.5 GPM (Obsolete)'!$C$27*100000)</f>
        <v>9.5130207526940502</v>
      </c>
      <c r="E62" s="127"/>
      <c r="F62" s="139">
        <f>($K$25*'2.5 GPM (Obsolete)'!$D$27*'2.5 GPM (Obsolete)'!$E$27*('2.5 GPM (Obsolete)'!$G$27-$Q19))/('2.5 GPM (Obsolete)'!$H$27*'2.5 GPM (Obsolete)'!$C$27*100000)</f>
        <v>8.497691734465068</v>
      </c>
      <c r="G62" s="139">
        <f>($L$25*'2.5 GPM (Obsolete)'!$D$27*'2.5 GPM (Obsolete)'!$E$27*('2.5 GPM (Obsolete)'!$G$27-$Q19))/('2.5 GPM (Obsolete)'!$H$27*'2.5 GPM (Obsolete)'!$C$27*100000)</f>
        <v>10.622114668081332</v>
      </c>
      <c r="H62" s="127"/>
    </row>
    <row r="63" spans="2:8" x14ac:dyDescent="0.3">
      <c r="B63" s="77">
        <v>16</v>
      </c>
      <c r="C63" s="139">
        <f>($I$25*'2.5 GPM (Obsolete)'!$D$27*'2.5 GPM (Obsolete)'!$E$27*('2.5 GPM (Obsolete)'!$G$27-$Q20))/('2.5 GPM (Obsolete)'!$H$27*'2.5 GPM (Obsolete)'!$C$27*100000)</f>
        <v>13.324693901260687</v>
      </c>
      <c r="D63" s="139">
        <f>($J$25*'2.5 GPM (Obsolete)'!$D$27*'2.5 GPM (Obsolete)'!$E$27*('2.5 GPM (Obsolete)'!$G$27-$Q20))/('2.5 GPM (Obsolete)'!$H$27*'2.5 GPM (Obsolete)'!$C$27*100000)</f>
        <v>16.655867376575863</v>
      </c>
      <c r="E63" s="127"/>
      <c r="F63" s="139">
        <f>($K$25*'2.5 GPM (Obsolete)'!$D$27*'2.5 GPM (Obsolete)'!$E$27*('2.5 GPM (Obsolete)'!$G$27-$Q20))/('2.5 GPM (Obsolete)'!$H$27*'2.5 GPM (Obsolete)'!$C$27*100000)</f>
        <v>14.878179099545482</v>
      </c>
      <c r="G63" s="139">
        <f>($L$25*'2.5 GPM (Obsolete)'!$D$27*'2.5 GPM (Obsolete)'!$E$27*('2.5 GPM (Obsolete)'!$G$27-$Q20))/('2.5 GPM (Obsolete)'!$H$27*'2.5 GPM (Obsolete)'!$C$27*100000)</f>
        <v>18.59772387443185</v>
      </c>
      <c r="H63" s="127"/>
    </row>
  </sheetData>
  <mergeCells count="7">
    <mergeCell ref="K27:O27"/>
    <mergeCell ref="F23:H23"/>
    <mergeCell ref="C23:E23"/>
    <mergeCell ref="C11:H11"/>
    <mergeCell ref="I11:N11"/>
    <mergeCell ref="I23:J23"/>
    <mergeCell ref="K23:L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opLeftCell="A58" zoomScale="80" zoomScaleNormal="80" workbookViewId="0">
      <selection activeCell="B27" sqref="B27"/>
    </sheetView>
  </sheetViews>
  <sheetFormatPr defaultColWidth="8.88671875" defaultRowHeight="14.4" x14ac:dyDescent="0.3"/>
  <cols>
    <col min="1" max="1" width="8.44140625" style="77" bestFit="1" customWidth="1"/>
    <col min="2" max="2" width="41.88671875" style="77" bestFit="1" customWidth="1"/>
    <col min="3" max="3" width="10.6640625" style="77" bestFit="1" customWidth="1"/>
    <col min="4" max="4" width="18.88671875" style="77" bestFit="1" customWidth="1"/>
    <col min="5" max="5" width="15" style="77" bestFit="1" customWidth="1"/>
    <col min="6" max="6" width="18.88671875" style="77" bestFit="1" customWidth="1"/>
    <col min="7" max="7" width="10.6640625" style="77" bestFit="1" customWidth="1"/>
    <col min="8" max="8" width="18.88671875" style="77" bestFit="1" customWidth="1"/>
    <col min="9" max="9" width="21" style="77" bestFit="1" customWidth="1"/>
    <col min="10" max="10" width="21" style="77" customWidth="1"/>
    <col min="11" max="11" width="11.109375" style="77" bestFit="1" customWidth="1"/>
    <col min="12" max="12" width="19.33203125" style="77" bestFit="1" customWidth="1"/>
    <col min="13" max="13" width="11.109375" style="77" bestFit="1" customWidth="1"/>
    <col min="14" max="14" width="19.33203125" style="77" bestFit="1" customWidth="1"/>
    <col min="15" max="15" width="12.33203125" style="77" customWidth="1"/>
    <col min="16" max="16" width="8.88671875" style="77"/>
    <col min="17" max="17" width="17.88671875" style="77" bestFit="1" customWidth="1"/>
    <col min="18" max="20" width="8.88671875" style="77"/>
    <col min="21" max="21" width="7.33203125" style="77" customWidth="1"/>
    <col min="22" max="22" width="17.88671875" style="77" bestFit="1" customWidth="1"/>
    <col min="23" max="16384" width="8.88671875" style="77"/>
  </cols>
  <sheetData>
    <row r="1" spans="1:25" ht="16.2" thickBot="1" x14ac:dyDescent="0.35">
      <c r="B1" s="81" t="s">
        <v>0</v>
      </c>
      <c r="C1" s="82" t="s">
        <v>1</v>
      </c>
      <c r="D1" s="82" t="s">
        <v>2</v>
      </c>
      <c r="E1" s="98" t="s">
        <v>3</v>
      </c>
      <c r="F1" s="82" t="s">
        <v>4</v>
      </c>
      <c r="G1" s="82" t="s">
        <v>5</v>
      </c>
      <c r="H1" s="98" t="s">
        <v>6</v>
      </c>
      <c r="I1" s="82"/>
      <c r="J1" s="82"/>
      <c r="K1" s="82"/>
      <c r="L1" s="4" t="s">
        <v>7</v>
      </c>
      <c r="M1" s="5"/>
    </row>
    <row r="2" spans="1:25" x14ac:dyDescent="0.3">
      <c r="B2" s="83" t="s">
        <v>8</v>
      </c>
      <c r="C2" s="84">
        <v>2.5</v>
      </c>
      <c r="D2" s="84">
        <v>2</v>
      </c>
      <c r="E2" s="99">
        <v>2</v>
      </c>
      <c r="F2" s="84">
        <v>2.5</v>
      </c>
      <c r="G2" s="84">
        <v>2</v>
      </c>
      <c r="H2" s="99">
        <v>2</v>
      </c>
      <c r="I2" s="85" t="s">
        <v>9</v>
      </c>
      <c r="J2" s="85">
        <f>+(2*H3*E4*D5*365*0.67)/D7</f>
        <v>4521.4740000000011</v>
      </c>
      <c r="K2" s="80"/>
      <c r="L2" s="85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1:25" x14ac:dyDescent="0.3">
      <c r="B3" s="83" t="s">
        <v>11</v>
      </c>
      <c r="C3" s="86">
        <v>7.4</v>
      </c>
      <c r="D3" s="86">
        <v>7.4</v>
      </c>
      <c r="E3" s="100">
        <v>7.4</v>
      </c>
      <c r="F3" s="86">
        <v>7.4</v>
      </c>
      <c r="G3" s="86">
        <v>7.4</v>
      </c>
      <c r="H3" s="100">
        <v>7.4</v>
      </c>
      <c r="I3" s="85" t="s">
        <v>12</v>
      </c>
      <c r="J3" s="85">
        <f>4521/5651</f>
        <v>0.80003539196602369</v>
      </c>
      <c r="K3" s="80"/>
      <c r="L3" s="85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1:25" x14ac:dyDescent="0.3">
      <c r="B4" s="83" t="s">
        <v>13</v>
      </c>
      <c r="C4" s="86">
        <v>2.79</v>
      </c>
      <c r="D4" s="86">
        <v>2.79</v>
      </c>
      <c r="E4" s="100">
        <v>2.79</v>
      </c>
      <c r="F4" s="86">
        <v>2.2200000000000002</v>
      </c>
      <c r="G4" s="86">
        <v>2.2200000000000002</v>
      </c>
      <c r="H4" s="100">
        <v>2.2200000000000002</v>
      </c>
      <c r="I4" s="85" t="s">
        <v>14</v>
      </c>
      <c r="J4" s="85"/>
      <c r="K4" s="80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1:25" x14ac:dyDescent="0.3">
      <c r="B5" s="83" t="s">
        <v>16</v>
      </c>
      <c r="C5" s="86">
        <v>0.9</v>
      </c>
      <c r="D5" s="86">
        <v>0.9</v>
      </c>
      <c r="E5" s="100">
        <v>0.9</v>
      </c>
      <c r="F5" s="86">
        <v>0.9</v>
      </c>
      <c r="G5" s="86">
        <v>0.9</v>
      </c>
      <c r="H5" s="100">
        <v>0.9</v>
      </c>
      <c r="I5" s="85" t="s">
        <v>17</v>
      </c>
      <c r="J5" s="85"/>
      <c r="K5" s="80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0"/>
      <c r="Y5" s="161"/>
    </row>
    <row r="6" spans="1:25" x14ac:dyDescent="0.3">
      <c r="B6" s="83" t="s">
        <v>19</v>
      </c>
      <c r="C6" s="86">
        <v>365</v>
      </c>
      <c r="D6" s="86">
        <v>365</v>
      </c>
      <c r="E6" s="100">
        <v>365</v>
      </c>
      <c r="F6" s="86">
        <v>365</v>
      </c>
      <c r="G6" s="86">
        <v>365</v>
      </c>
      <c r="H6" s="100">
        <v>365</v>
      </c>
      <c r="I6" s="85" t="s">
        <v>19</v>
      </c>
      <c r="J6" s="85"/>
      <c r="K6" s="80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0"/>
      <c r="Y6" s="161"/>
    </row>
    <row r="7" spans="1:25" x14ac:dyDescent="0.3">
      <c r="B7" s="83" t="s">
        <v>21</v>
      </c>
      <c r="C7" s="84">
        <v>2.0099999999999998</v>
      </c>
      <c r="D7" s="84">
        <v>2.0099999999999998</v>
      </c>
      <c r="E7" s="99">
        <v>2.0099999999999998</v>
      </c>
      <c r="F7" s="84">
        <v>1.5</v>
      </c>
      <c r="G7" s="84">
        <v>1.5</v>
      </c>
      <c r="H7" s="99">
        <v>1.5</v>
      </c>
      <c r="I7" s="85" t="s">
        <v>22</v>
      </c>
      <c r="J7" s="85">
        <f>+E9*D6/C4</f>
        <v>3257.2361608920746</v>
      </c>
      <c r="K7" s="80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0"/>
      <c r="Y7" s="161"/>
    </row>
    <row r="8" spans="1:25" x14ac:dyDescent="0.3">
      <c r="B8" s="87" t="s">
        <v>23</v>
      </c>
      <c r="C8" s="88">
        <v>8435.5858208955233</v>
      </c>
      <c r="D8" s="88">
        <f>+D2*D3*D4*D5*D6/D7</f>
        <v>6748.4686567164199</v>
      </c>
      <c r="E8" s="101">
        <f>E9*365/E7</f>
        <v>4521.2382531785515</v>
      </c>
      <c r="F8" s="88">
        <v>8994.33</v>
      </c>
      <c r="G8" s="88">
        <f>+G2*G3*G4*G5*G6/G7</f>
        <v>7195.4640000000009</v>
      </c>
      <c r="H8" s="101">
        <f>H9*365/H7</f>
        <v>5048.3555555555567</v>
      </c>
      <c r="I8" s="85" t="s">
        <v>24</v>
      </c>
      <c r="J8" s="85"/>
      <c r="K8" s="80"/>
      <c r="L8" s="85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0"/>
      <c r="Y8" s="161"/>
    </row>
    <row r="9" spans="1:25" x14ac:dyDescent="0.3">
      <c r="A9" s="77">
        <f>H8/G8</f>
        <v>0.7016025034043053</v>
      </c>
      <c r="B9" s="89" t="s">
        <v>25</v>
      </c>
      <c r="C9" s="90">
        <f>+C8/365*C7</f>
        <v>46.453499999999998</v>
      </c>
      <c r="D9" s="90">
        <f>+D8/365*D7</f>
        <v>37.162800000000004</v>
      </c>
      <c r="E9" s="126">
        <f>VLOOKUP(E2,'Mixed Daily Water Calculator'!$C$26:$G$34,2,FALSE)</f>
        <v>24.897777777777776</v>
      </c>
      <c r="F9" s="90">
        <v>36.963000000000001</v>
      </c>
      <c r="G9" s="90">
        <v>33.266700000000007</v>
      </c>
      <c r="H9" s="126">
        <f>VLOOKUP(H2,'Mixed Daily Water Calculator'!$C$26:$G$34,3,FALSE)</f>
        <v>20.746666666666673</v>
      </c>
      <c r="I9" s="91" t="s">
        <v>26</v>
      </c>
      <c r="J9" s="91">
        <f>+J7/J2</f>
        <v>0.72039254475245773</v>
      </c>
      <c r="K9" s="91"/>
      <c r="L9" s="85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0"/>
      <c r="Y9" s="161"/>
    </row>
    <row r="10" spans="1:25" x14ac:dyDescent="0.3">
      <c r="A10" s="77">
        <f>D8/E8</f>
        <v>1.4926151374509109</v>
      </c>
      <c r="B10" s="89" t="s">
        <v>27</v>
      </c>
      <c r="C10" s="90">
        <f>0.63*C9</f>
        <v>29.265705000000001</v>
      </c>
      <c r="D10" s="90">
        <f>0.63*D9</f>
        <v>23.412564000000003</v>
      </c>
      <c r="E10" s="90">
        <v>17.6463</v>
      </c>
      <c r="F10" s="90">
        <v>23.28669</v>
      </c>
      <c r="G10" s="90">
        <v>20.958021000000006</v>
      </c>
      <c r="H10" s="90">
        <v>14.7042</v>
      </c>
      <c r="I10" s="80"/>
      <c r="J10" s="80"/>
      <c r="K10" s="80"/>
      <c r="L10" s="85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0"/>
      <c r="Y10" s="161"/>
    </row>
    <row r="11" spans="1:25" x14ac:dyDescent="0.3">
      <c r="A11" s="77">
        <f>1/A10</f>
        <v>0.66996506661978561</v>
      </c>
      <c r="C11" s="204" t="s">
        <v>39</v>
      </c>
      <c r="D11" s="205"/>
      <c r="E11" s="205"/>
      <c r="F11" s="205"/>
      <c r="G11" s="205"/>
      <c r="H11" s="206"/>
      <c r="I11" s="204" t="s">
        <v>97</v>
      </c>
      <c r="J11" s="205"/>
      <c r="K11" s="205"/>
      <c r="L11" s="205"/>
      <c r="M11" s="205"/>
      <c r="N11" s="206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0"/>
      <c r="Y11" s="161"/>
    </row>
    <row r="12" spans="1:25" ht="15.6" x14ac:dyDescent="0.3">
      <c r="A12" s="77" t="s">
        <v>35</v>
      </c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0"/>
      <c r="Y12" s="161"/>
    </row>
    <row r="13" spans="1:25" x14ac:dyDescent="0.3">
      <c r="A13" s="77" t="s">
        <v>36</v>
      </c>
      <c r="B13" s="83" t="s">
        <v>29</v>
      </c>
      <c r="C13" s="86">
        <v>1.5</v>
      </c>
      <c r="D13" s="27">
        <v>1.5</v>
      </c>
      <c r="E13" s="86">
        <v>1.6</v>
      </c>
      <c r="F13" s="100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0"/>
      <c r="Y13" s="161"/>
    </row>
    <row r="14" spans="1:25" x14ac:dyDescent="0.3">
      <c r="B14" s="83" t="s">
        <v>11</v>
      </c>
      <c r="C14" s="86">
        <v>7.4</v>
      </c>
      <c r="D14" s="27">
        <v>7.4</v>
      </c>
      <c r="E14" s="86">
        <v>7.4</v>
      </c>
      <c r="F14" s="100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0"/>
      <c r="Y14" s="161"/>
    </row>
    <row r="15" spans="1:25" x14ac:dyDescent="0.3">
      <c r="B15" s="83" t="s">
        <v>13</v>
      </c>
      <c r="C15" s="86">
        <v>2.79</v>
      </c>
      <c r="D15" s="27">
        <v>2.79</v>
      </c>
      <c r="E15" s="86">
        <v>2.79</v>
      </c>
      <c r="F15" s="100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0"/>
      <c r="Y15" s="161"/>
    </row>
    <row r="16" spans="1:25" x14ac:dyDescent="0.3">
      <c r="B16" s="83" t="s">
        <v>16</v>
      </c>
      <c r="C16" s="86">
        <v>0.9</v>
      </c>
      <c r="D16" s="27">
        <v>0.9</v>
      </c>
      <c r="E16" s="86">
        <v>0.9</v>
      </c>
      <c r="F16" s="100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100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99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0"/>
      <c r="Y18" s="161"/>
    </row>
    <row r="19" spans="1:25" ht="15" x14ac:dyDescent="0.25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66">
        <f>C20*E9/D9</f>
        <v>18.673333333333332</v>
      </c>
      <c r="E20" s="67">
        <f>E19/365*E18</f>
        <v>29.730240000000002</v>
      </c>
      <c r="F20" s="66">
        <f>E20*E9/D9</f>
        <v>19.918222222222219</v>
      </c>
      <c r="G20" s="67">
        <f>G19/365*G18</f>
        <v>31.588380000000001</v>
      </c>
      <c r="H20" s="68">
        <f>G20*E9/D9</f>
        <v>21.16311111111111</v>
      </c>
      <c r="I20" s="65">
        <f>I19/365*I18</f>
        <v>22.177800000000005</v>
      </c>
      <c r="J20" s="66">
        <f>I20*H9/G9</f>
        <v>13.831111111111115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15.675259259259262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5"/>
      <c r="Y20" s="166"/>
    </row>
    <row r="21" spans="1:25" x14ac:dyDescent="0.3">
      <c r="B21" s="89" t="s">
        <v>27</v>
      </c>
      <c r="I21" s="90"/>
      <c r="J21" s="90"/>
      <c r="K21" s="90"/>
      <c r="L21" s="90"/>
      <c r="M21" s="90"/>
    </row>
    <row r="22" spans="1:25" ht="15" thickBot="1" x14ac:dyDescent="0.35"/>
    <row r="23" spans="1:25" x14ac:dyDescent="0.3">
      <c r="C23" s="207" t="s">
        <v>114</v>
      </c>
      <c r="D23" s="208"/>
      <c r="E23" s="208"/>
      <c r="F23" s="211" t="s">
        <v>115</v>
      </c>
      <c r="G23" s="202"/>
      <c r="H23" s="214"/>
      <c r="I23" s="209" t="s">
        <v>114</v>
      </c>
      <c r="J23" s="209"/>
      <c r="K23" s="209" t="s">
        <v>115</v>
      </c>
      <c r="L23" s="210"/>
    </row>
    <row r="24" spans="1:25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5" ht="15" thickBot="1" x14ac:dyDescent="0.35">
      <c r="B25" s="108" t="s">
        <v>148</v>
      </c>
      <c r="C25" s="144">
        <f>E8-D19</f>
        <v>1130.3095632946379</v>
      </c>
      <c r="D25" s="145">
        <f>E8-F19</f>
        <v>904.24765063570976</v>
      </c>
      <c r="E25" s="146">
        <f>E8-H19</f>
        <v>678.18573797678255</v>
      </c>
      <c r="F25" s="74">
        <f>H8-J19</f>
        <v>1262.088888888889</v>
      </c>
      <c r="G25" s="74">
        <f>H8-L19</f>
        <v>1009.6711111111113</v>
      </c>
      <c r="H25" s="74">
        <f>H8-N19</f>
        <v>757.25333333333401</v>
      </c>
      <c r="I25" s="147">
        <f>+E8-N36</f>
        <v>1695.4643449419564</v>
      </c>
      <c r="J25" s="147">
        <f>+E8-N37</f>
        <v>2260.6191265892758</v>
      </c>
      <c r="K25" s="147">
        <f>+H8-O36</f>
        <v>1893.1333333333341</v>
      </c>
      <c r="L25" s="148">
        <f>+H8-O37</f>
        <v>2524.1777777777784</v>
      </c>
    </row>
    <row r="26" spans="1:25" ht="15.75" thickBot="1" x14ac:dyDescent="0.3">
      <c r="C26" s="88"/>
      <c r="D26" s="88"/>
      <c r="E26" s="88"/>
      <c r="F26" s="73"/>
      <c r="G26" s="73"/>
      <c r="H26" s="73"/>
    </row>
    <row r="27" spans="1:25" ht="15" customHeight="1" thickBot="1" x14ac:dyDescent="0.3">
      <c r="K27" s="201" t="s">
        <v>116</v>
      </c>
      <c r="L27" s="202"/>
      <c r="M27" s="202"/>
      <c r="N27" s="202"/>
      <c r="O27" s="203"/>
    </row>
    <row r="28" spans="1:25" ht="28.95" customHeight="1" x14ac:dyDescent="0.25">
      <c r="A28" s="113" t="s">
        <v>35</v>
      </c>
      <c r="B28" s="109" t="s">
        <v>55</v>
      </c>
      <c r="C28" s="110" t="s">
        <v>39</v>
      </c>
      <c r="D28" s="111"/>
      <c r="E28" s="111"/>
      <c r="F28" s="110" t="s">
        <v>97</v>
      </c>
      <c r="G28" s="111"/>
      <c r="H28" s="112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5" ht="14.4" customHeight="1" x14ac:dyDescent="0.3">
      <c r="B29" s="108" t="s">
        <v>112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5" ht="14.4" customHeight="1" x14ac:dyDescent="0.3">
      <c r="B30" s="77">
        <v>1</v>
      </c>
      <c r="C30" s="141">
        <f>(C$25*'2.5 GPM (Obsolete)'!$D$27*'2.5 GPM (Obsolete)'!$E$27*('2.5 GPM (Obsolete)'!$G$27-$Q5))/('2.5 GPM (Obsolete)'!$H$27*'2.5 GPM (Obsolete)'!$C$27*100000)</f>
        <v>6.6865728580167989</v>
      </c>
      <c r="D30" s="141">
        <f>(D$25*'2.5 GPM (Obsolete)'!$D$27*'2.5 GPM (Obsolete)'!$E$27*('2.5 GPM (Obsolete)'!$G$27-$Q5))/('2.5 GPM (Obsolete)'!$H$27*'2.5 GPM (Obsolete)'!$C$27*100000)</f>
        <v>5.3492582864134359</v>
      </c>
      <c r="E30" s="141">
        <f>(E$25*'2.5 GPM (Obsolete)'!$D$27*'2.5 GPM (Obsolete)'!$E$27*('2.5 GPM (Obsolete)'!$G$27-$Q5))/('2.5 GPM (Obsolete)'!$H$27*'2.5 GPM (Obsolete)'!$C$27*100000)</f>
        <v>4.0119437148100783</v>
      </c>
      <c r="F30" s="139">
        <f>(F$25*'2.5 GPM (Obsolete)'!$D$27*'2.5 GPM (Obsolete)'!$E$27*('2.5 GPM (Obsolete)'!$G$27-$V5))/('2.5 GPM (Obsolete)'!$H$27*'2.5 GPM (Obsolete)'!$C$27*100000)</f>
        <v>7.4661399098197059</v>
      </c>
      <c r="G30" s="139">
        <f>(G$25*'2.5 GPM (Obsolete)'!$D$27*'2.5 GPM (Obsolete)'!$E$27*('2.5 GPM (Obsolete)'!$G$27-$V5))/('2.5 GPM (Obsolete)'!$H$27*'2.5 GPM (Obsolete)'!$C$27*100000)</f>
        <v>5.9729119278557654</v>
      </c>
      <c r="H30" s="139">
        <f>(H$25*'2.5 GPM (Obsolete)'!$D$27*'2.5 GPM (Obsolete)'!$E$27*('2.5 GPM (Obsolete)'!$G$27-$V5))/('2.5 GPM (Obsolete)'!$H$27*'2.5 GPM (Obsolete)'!$C$27*100000)</f>
        <v>4.4796839458918267</v>
      </c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5" ht="14.4" customHeight="1" x14ac:dyDescent="0.3">
      <c r="B31" s="77">
        <v>2</v>
      </c>
      <c r="C31" s="141">
        <f>(C$25*'2.5 GPM (Obsolete)'!$D$27*'2.5 GPM (Obsolete)'!$E$27*('2.5 GPM (Obsolete)'!$G$27-$Q6))/('2.5 GPM (Obsolete)'!$H$27*'2.5 GPM (Obsolete)'!$C$27*100000)</f>
        <v>5.9692388930954525</v>
      </c>
      <c r="D31" s="141">
        <f>(D$25*'2.5 GPM (Obsolete)'!$D$27*'2.5 GPM (Obsolete)'!$E$27*('2.5 GPM (Obsolete)'!$G$27-$Q6))/('2.5 GPM (Obsolete)'!$H$27*'2.5 GPM (Obsolete)'!$C$27*100000)</f>
        <v>4.775391114476359</v>
      </c>
      <c r="E31" s="141">
        <f>(E$25*'2.5 GPM (Obsolete)'!$D$27*'2.5 GPM (Obsolete)'!$E$27*('2.5 GPM (Obsolete)'!$G$27-$Q6))/('2.5 GPM (Obsolete)'!$H$27*'2.5 GPM (Obsolete)'!$C$27*100000)</f>
        <v>3.5815433358572712</v>
      </c>
      <c r="F31" s="139">
        <f>(F$25*'2.5 GPM (Obsolete)'!$D$27*'2.5 GPM (Obsolete)'!$E$27*('2.5 GPM (Obsolete)'!$G$27-$V6))/('2.5 GPM (Obsolete)'!$H$27*'2.5 GPM (Obsolete)'!$C$27*100000)</f>
        <v>6.6634853269018306</v>
      </c>
      <c r="G31" s="139">
        <f>(G$25*'2.5 GPM (Obsolete)'!$D$27*'2.5 GPM (Obsolete)'!$E$27*('2.5 GPM (Obsolete)'!$G$27-$V6))/('2.5 GPM (Obsolete)'!$H$27*'2.5 GPM (Obsolete)'!$C$27*100000)</f>
        <v>5.330788261521465</v>
      </c>
      <c r="H31" s="139">
        <f>(H$25*'2.5 GPM (Obsolete)'!$D$27*'2.5 GPM (Obsolete)'!$E$27*('2.5 GPM (Obsolete)'!$G$27-$V6))/('2.5 GPM (Obsolete)'!$H$27*'2.5 GPM (Obsolete)'!$C$27*100000)</f>
        <v>3.9980911961411021</v>
      </c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5" ht="14.4" customHeight="1" x14ac:dyDescent="0.3">
      <c r="B32" s="77">
        <v>3</v>
      </c>
      <c r="C32" s="141">
        <f>(C$25*'2.5 GPM (Obsolete)'!$D$27*'2.5 GPM (Obsolete)'!$E$27*('2.5 GPM (Obsolete)'!$G$27-$Q7))/('2.5 GPM (Obsolete)'!$H$27*'2.5 GPM (Obsolete)'!$C$27*100000)</f>
        <v>5.9947416232191317</v>
      </c>
      <c r="D32" s="141">
        <f>(D$25*'2.5 GPM (Obsolete)'!$D$27*'2.5 GPM (Obsolete)'!$E$27*('2.5 GPM (Obsolete)'!$G$27-$Q7))/('2.5 GPM (Obsolete)'!$H$27*'2.5 GPM (Obsolete)'!$C$27*100000)</f>
        <v>4.795793298575302</v>
      </c>
      <c r="E32" s="141">
        <f>(E$25*'2.5 GPM (Obsolete)'!$D$27*'2.5 GPM (Obsolete)'!$E$27*('2.5 GPM (Obsolete)'!$G$27-$Q7))/('2.5 GPM (Obsolete)'!$H$27*'2.5 GPM (Obsolete)'!$C$27*100000)</f>
        <v>3.5968449739314781</v>
      </c>
      <c r="F32" s="139">
        <f>(F$25*'2.5 GPM (Obsolete)'!$D$27*'2.5 GPM (Obsolete)'!$E$27*('2.5 GPM (Obsolete)'!$G$27-$V7))/('2.5 GPM (Obsolete)'!$H$27*'2.5 GPM (Obsolete)'!$C$27*100000)</f>
        <v>6.692665107811365</v>
      </c>
      <c r="G32" s="139">
        <f>(G$25*'2.5 GPM (Obsolete)'!$D$27*'2.5 GPM (Obsolete)'!$E$27*('2.5 GPM (Obsolete)'!$G$27-$V7))/('2.5 GPM (Obsolete)'!$H$27*'2.5 GPM (Obsolete)'!$C$27*100000)</f>
        <v>5.354132086249094</v>
      </c>
      <c r="H32" s="139">
        <f>(H$25*'2.5 GPM (Obsolete)'!$D$27*'2.5 GPM (Obsolete)'!$E$27*('2.5 GPM (Obsolete)'!$G$27-$V7))/('2.5 GPM (Obsolete)'!$H$27*'2.5 GPM (Obsolete)'!$C$27*100000)</f>
        <v>4.0155990646868229</v>
      </c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ht="14.4" customHeight="1" x14ac:dyDescent="0.3">
      <c r="B33" s="77">
        <v>4</v>
      </c>
      <c r="C33" s="141">
        <f>(C$25*'2.5 GPM (Obsolete)'!$D$27*'2.5 GPM (Obsolete)'!$E$27*('2.5 GPM (Obsolete)'!$G$27-$Q8))/('2.5 GPM (Obsolete)'!$H$27*'2.5 GPM (Obsolete)'!$C$27*100000)</f>
        <v>5.6995111321620824</v>
      </c>
      <c r="D33" s="141">
        <f>(D$25*'2.5 GPM (Obsolete)'!$D$27*'2.5 GPM (Obsolete)'!$E$27*('2.5 GPM (Obsolete)'!$G$27-$Q8))/('2.5 GPM (Obsolete)'!$H$27*'2.5 GPM (Obsolete)'!$C$27*100000)</f>
        <v>4.5596089057296627</v>
      </c>
      <c r="E33" s="141">
        <f>(E$25*'2.5 GPM (Obsolete)'!$D$27*'2.5 GPM (Obsolete)'!$E$27*('2.5 GPM (Obsolete)'!$G$27-$Q8))/('2.5 GPM (Obsolete)'!$H$27*'2.5 GPM (Obsolete)'!$C$27*100000)</f>
        <v>3.4197066792972488</v>
      </c>
      <c r="F33" s="139">
        <f>(F$25*'2.5 GPM (Obsolete)'!$D$27*'2.5 GPM (Obsolete)'!$E$27*('2.5 GPM (Obsolete)'!$G$27-$V8))/('2.5 GPM (Obsolete)'!$H$27*'2.5 GPM (Obsolete)'!$C$27*100000)</f>
        <v>6.3620461612723993</v>
      </c>
      <c r="G33" s="139">
        <f>(G$25*'2.5 GPM (Obsolete)'!$D$27*'2.5 GPM (Obsolete)'!$E$27*('2.5 GPM (Obsolete)'!$G$27-$V8))/('2.5 GPM (Obsolete)'!$H$27*'2.5 GPM (Obsolete)'!$C$27*100000)</f>
        <v>5.08963692901792</v>
      </c>
      <c r="H33" s="139">
        <f>(H$25*'2.5 GPM (Obsolete)'!$D$27*'2.5 GPM (Obsolete)'!$E$27*('2.5 GPM (Obsolete)'!$G$27-$V8))/('2.5 GPM (Obsolete)'!$H$27*'2.5 GPM (Obsolete)'!$C$27*100000)</f>
        <v>3.8172276967634429</v>
      </c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ht="14.4" customHeight="1" x14ac:dyDescent="0.3">
      <c r="B34" s="77">
        <v>5</v>
      </c>
      <c r="C34" s="141">
        <f>(C$25*'2.5 GPM (Obsolete)'!$D$27*'2.5 GPM (Obsolete)'!$E$27*('2.5 GPM (Obsolete)'!$G$27-$Q9))/('2.5 GPM (Obsolete)'!$H$27*'2.5 GPM (Obsolete)'!$C$27*100000)</f>
        <v>6.1426801791395809</v>
      </c>
      <c r="D34" s="141">
        <f>(D$25*'2.5 GPM (Obsolete)'!$D$27*'2.5 GPM (Obsolete)'!$E$27*('2.5 GPM (Obsolete)'!$G$27-$Q9))/('2.5 GPM (Obsolete)'!$H$27*'2.5 GPM (Obsolete)'!$C$27*100000)</f>
        <v>4.9141441433116606</v>
      </c>
      <c r="E34" s="141">
        <f>(E$25*'2.5 GPM (Obsolete)'!$D$27*'2.5 GPM (Obsolete)'!$E$27*('2.5 GPM (Obsolete)'!$G$27-$Q9))/('2.5 GPM (Obsolete)'!$H$27*'2.5 GPM (Obsolete)'!$C$27*100000)</f>
        <v>3.685608107483747</v>
      </c>
      <c r="F34" s="139">
        <f>(F$25*'2.5 GPM (Obsolete)'!$D$27*'2.5 GPM (Obsolete)'!$E$27*('2.5 GPM (Obsolete)'!$G$27-$V9))/('2.5 GPM (Obsolete)'!$H$27*'2.5 GPM (Obsolete)'!$C$27*100000)</f>
        <v>6.8585750559272558</v>
      </c>
      <c r="G34" s="139">
        <f>(G$25*'2.5 GPM (Obsolete)'!$D$27*'2.5 GPM (Obsolete)'!$E$27*('2.5 GPM (Obsolete)'!$G$27-$V9))/('2.5 GPM (Obsolete)'!$H$27*'2.5 GPM (Obsolete)'!$C$27*100000)</f>
        <v>5.486860044741805</v>
      </c>
      <c r="H34" s="139">
        <f>(H$25*'2.5 GPM (Obsolete)'!$D$27*'2.5 GPM (Obsolete)'!$E$27*('2.5 GPM (Obsolete)'!$G$27-$V9))/('2.5 GPM (Obsolete)'!$H$27*'2.5 GPM (Obsolete)'!$C$27*100000)</f>
        <v>4.1151450335563577</v>
      </c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ht="14.4" customHeight="1" x14ac:dyDescent="0.3">
      <c r="B35" s="77">
        <v>6</v>
      </c>
      <c r="C35" s="141">
        <f>(C$25*'2.5 GPM (Obsolete)'!$D$27*'2.5 GPM (Obsolete)'!$E$27*('2.5 GPM (Obsolete)'!$G$27-$Q10))/('2.5 GPM (Obsolete)'!$H$27*'2.5 GPM (Obsolete)'!$C$27*100000)</f>
        <v>5.4209815541440109</v>
      </c>
      <c r="D35" s="141">
        <f>(D$25*'2.5 GPM (Obsolete)'!$D$27*'2.5 GPM (Obsolete)'!$E$27*('2.5 GPM (Obsolete)'!$G$27-$Q10))/('2.5 GPM (Obsolete)'!$H$27*'2.5 GPM (Obsolete)'!$C$27*100000)</f>
        <v>4.3367852433152052</v>
      </c>
      <c r="E35" s="141">
        <f>(E$25*'2.5 GPM (Obsolete)'!$D$27*'2.5 GPM (Obsolete)'!$E$27*('2.5 GPM (Obsolete)'!$G$27-$Q10))/('2.5 GPM (Obsolete)'!$H$27*'2.5 GPM (Obsolete)'!$C$27*100000)</f>
        <v>3.2525889324864057</v>
      </c>
      <c r="F35" s="139">
        <f>(F$25*'2.5 GPM (Obsolete)'!$D$27*'2.5 GPM (Obsolete)'!$E$27*('2.5 GPM (Obsolete)'!$G$27-$V10))/('2.5 GPM (Obsolete)'!$H$27*'2.5 GPM (Obsolete)'!$C$27*100000)</f>
        <v>6.056536079228132</v>
      </c>
      <c r="G35" s="139">
        <f>(G$25*'2.5 GPM (Obsolete)'!$D$27*'2.5 GPM (Obsolete)'!$E$27*('2.5 GPM (Obsolete)'!$G$27-$V10))/('2.5 GPM (Obsolete)'!$H$27*'2.5 GPM (Obsolete)'!$C$27*100000)</f>
        <v>4.8452288633825065</v>
      </c>
      <c r="H35" s="139">
        <f>(H$25*'2.5 GPM (Obsolete)'!$D$27*'2.5 GPM (Obsolete)'!$E$27*('2.5 GPM (Obsolete)'!$G$27-$V10))/('2.5 GPM (Obsolete)'!$H$27*'2.5 GPM (Obsolete)'!$C$27*100000)</f>
        <v>3.6339216475368823</v>
      </c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ht="14.4" customHeight="1" x14ac:dyDescent="0.3">
      <c r="B36" s="77">
        <v>7</v>
      </c>
      <c r="C36" s="141">
        <f>(C$25*'2.5 GPM (Obsolete)'!$D$27*'2.5 GPM (Obsolete)'!$E$27*('2.5 GPM (Obsolete)'!$G$27-$Q11))/('2.5 GPM (Obsolete)'!$H$27*'2.5 GPM (Obsolete)'!$C$27*100000)</f>
        <v>5.3217298983822605</v>
      </c>
      <c r="D36" s="141">
        <f>(D$25*'2.5 GPM (Obsolete)'!$D$27*'2.5 GPM (Obsolete)'!$E$27*('2.5 GPM (Obsolete)'!$G$27-$Q11))/('2.5 GPM (Obsolete)'!$H$27*'2.5 GPM (Obsolete)'!$C$27*100000)</f>
        <v>4.2573839187058065</v>
      </c>
      <c r="E36" s="141">
        <f>(E$25*'2.5 GPM (Obsolete)'!$D$27*'2.5 GPM (Obsolete)'!$E$27*('2.5 GPM (Obsolete)'!$G$27-$Q11))/('2.5 GPM (Obsolete)'!$H$27*'2.5 GPM (Obsolete)'!$C$27*100000)</f>
        <v>3.193037939029356</v>
      </c>
      <c r="F36" s="139">
        <f>(F$25*'2.5 GPM (Obsolete)'!$D$27*'2.5 GPM (Obsolete)'!$E$27*('2.5 GPM (Obsolete)'!$G$27-$V11))/('2.5 GPM (Obsolete)'!$H$27*'2.5 GPM (Obsolete)'!$C$27*100000)</f>
        <v>5.9446409438590742</v>
      </c>
      <c r="G36" s="139">
        <f>(G$25*'2.5 GPM (Obsolete)'!$D$27*'2.5 GPM (Obsolete)'!$E$27*('2.5 GPM (Obsolete)'!$G$27-$V11))/('2.5 GPM (Obsolete)'!$H$27*'2.5 GPM (Obsolete)'!$C$27*100000)</f>
        <v>4.7557127550872593</v>
      </c>
      <c r="H36" s="139">
        <f>(H$25*'2.5 GPM (Obsolete)'!$D$27*'2.5 GPM (Obsolete)'!$E$27*('2.5 GPM (Obsolete)'!$G$27-$V11))/('2.5 GPM (Obsolete)'!$H$27*'2.5 GPM (Obsolete)'!$C$27*100000)</f>
        <v>3.5667845663154476</v>
      </c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ht="15" customHeight="1" thickBot="1" x14ac:dyDescent="0.35">
      <c r="B37" s="77">
        <v>8</v>
      </c>
      <c r="C37" s="141">
        <f>(C$25*'2.5 GPM (Obsolete)'!$D$27*'2.5 GPM (Obsolete)'!$E$27*('2.5 GPM (Obsolete)'!$G$27-$Q12))/('2.5 GPM (Obsolete)'!$H$27*'2.5 GPM (Obsolete)'!$C$27*100000)</f>
        <v>5.1794753635449151</v>
      </c>
      <c r="D37" s="141">
        <f>(D$25*'2.5 GPM (Obsolete)'!$D$27*'2.5 GPM (Obsolete)'!$E$27*('2.5 GPM (Obsolete)'!$G$27-$Q12))/('2.5 GPM (Obsolete)'!$H$27*'2.5 GPM (Obsolete)'!$C$27*100000)</f>
        <v>4.1435802908359287</v>
      </c>
      <c r="E37" s="141">
        <f>(E$25*'2.5 GPM (Obsolete)'!$D$27*'2.5 GPM (Obsolete)'!$E$27*('2.5 GPM (Obsolete)'!$G$27-$Q12))/('2.5 GPM (Obsolete)'!$H$27*'2.5 GPM (Obsolete)'!$C$27*100000)</f>
        <v>3.1076852181269481</v>
      </c>
      <c r="F37" s="139">
        <f>(F$25*'2.5 GPM (Obsolete)'!$D$27*'2.5 GPM (Obsolete)'!$E$27*('2.5 GPM (Obsolete)'!$G$27-$V12))/('2.5 GPM (Obsolete)'!$H$27*'2.5 GPM (Obsolete)'!$C$27*100000)</f>
        <v>5.7878033621789422</v>
      </c>
      <c r="G37" s="139">
        <f>(G$25*'2.5 GPM (Obsolete)'!$D$27*'2.5 GPM (Obsolete)'!$E$27*('2.5 GPM (Obsolete)'!$G$27-$V12))/('2.5 GPM (Obsolete)'!$H$27*'2.5 GPM (Obsolete)'!$C$27*100000)</f>
        <v>4.6302426897431541</v>
      </c>
      <c r="H37" s="139">
        <f>(H$25*'2.5 GPM (Obsolete)'!$D$27*'2.5 GPM (Obsolete)'!$E$27*('2.5 GPM (Obsolete)'!$G$27-$V12))/('2.5 GPM (Obsolete)'!$H$27*'2.5 GPM (Obsolete)'!$C$27*100000)</f>
        <v>3.4726820173073687</v>
      </c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x14ac:dyDescent="0.3">
      <c r="B38" s="77">
        <v>9</v>
      </c>
      <c r="C38" s="141">
        <f>(C$25*'2.5 GPM (Obsolete)'!$D$27*'2.5 GPM (Obsolete)'!$E$27*('2.5 GPM (Obsolete)'!$G$27-$Q13))/('2.5 GPM (Obsolete)'!$H$27*'2.5 GPM (Obsolete)'!$C$27*100000)</f>
        <v>5.1729573069661452</v>
      </c>
      <c r="D38" s="141">
        <f>(D$25*'2.5 GPM (Obsolete)'!$D$27*'2.5 GPM (Obsolete)'!$E$27*('2.5 GPM (Obsolete)'!$G$27-$Q13))/('2.5 GPM (Obsolete)'!$H$27*'2.5 GPM (Obsolete)'!$C$27*100000)</f>
        <v>4.1383658455729133</v>
      </c>
      <c r="E38" s="141">
        <f>(E$25*'2.5 GPM (Obsolete)'!$D$27*'2.5 GPM (Obsolete)'!$E$27*('2.5 GPM (Obsolete)'!$G$27-$Q13))/('2.5 GPM (Obsolete)'!$H$27*'2.5 GPM (Obsolete)'!$C$27*100000)</f>
        <v>3.1037743841796863</v>
      </c>
      <c r="F38" s="139">
        <f>(F$25*'2.5 GPM (Obsolete)'!$D$27*'2.5 GPM (Obsolete)'!$E$27*('2.5 GPM (Obsolete)'!$G$27-$V13))/('2.5 GPM (Obsolete)'!$H$27*'2.5 GPM (Obsolete)'!$C$27*100000)</f>
        <v>5.7825332545048722</v>
      </c>
      <c r="G38" s="139">
        <f>(G$25*'2.5 GPM (Obsolete)'!$D$27*'2.5 GPM (Obsolete)'!$E$27*('2.5 GPM (Obsolete)'!$G$27-$V13))/('2.5 GPM (Obsolete)'!$H$27*'2.5 GPM (Obsolete)'!$C$27*100000)</f>
        <v>4.6260266036038979</v>
      </c>
      <c r="H38" s="139">
        <f>(H$25*'2.5 GPM (Obsolete)'!$D$27*'2.5 GPM (Obsolete)'!$E$27*('2.5 GPM (Obsolete)'!$G$27-$V13))/('2.5 GPM (Obsolete)'!$H$27*'2.5 GPM (Obsolete)'!$C$27*100000)</f>
        <v>3.4695199527029263</v>
      </c>
      <c r="J38" s="26"/>
      <c r="K38" s="26"/>
      <c r="L38" s="26"/>
      <c r="M38" s="26"/>
      <c r="N38" s="26"/>
      <c r="O38" s="26"/>
    </row>
    <row r="39" spans="2:15" x14ac:dyDescent="0.3">
      <c r="B39" s="77">
        <v>10</v>
      </c>
      <c r="C39" s="141">
        <f>(C$25*'2.5 GPM (Obsolete)'!$D$27*'2.5 GPM (Obsolete)'!$E$27*('2.5 GPM (Obsolete)'!$G$27-$Q14))/('2.5 GPM (Obsolete)'!$H$27*'2.5 GPM (Obsolete)'!$C$27*100000)</f>
        <v>5.1367352540371769</v>
      </c>
      <c r="D39" s="141">
        <f>(D$25*'2.5 GPM (Obsolete)'!$D$27*'2.5 GPM (Obsolete)'!$E$27*('2.5 GPM (Obsolete)'!$G$27-$Q14))/('2.5 GPM (Obsolete)'!$H$27*'2.5 GPM (Obsolete)'!$C$27*100000)</f>
        <v>4.1093882032297389</v>
      </c>
      <c r="E39" s="141">
        <f>(E$25*'2.5 GPM (Obsolete)'!$D$27*'2.5 GPM (Obsolete)'!$E$27*('2.5 GPM (Obsolete)'!$G$27-$Q14))/('2.5 GPM (Obsolete)'!$H$27*'2.5 GPM (Obsolete)'!$C$27*100000)</f>
        <v>3.0820411524223053</v>
      </c>
      <c r="F39" s="139">
        <f>(F$25*'2.5 GPM (Obsolete)'!$D$27*'2.5 GPM (Obsolete)'!$E$27*('2.5 GPM (Obsolete)'!$G$27-$V14))/('2.5 GPM (Obsolete)'!$H$27*'2.5 GPM (Obsolete)'!$C$27*100000)</f>
        <v>5.7446088019901147</v>
      </c>
      <c r="G39" s="139">
        <f>(G$25*'2.5 GPM (Obsolete)'!$D$27*'2.5 GPM (Obsolete)'!$E$27*('2.5 GPM (Obsolete)'!$G$27-$V14))/('2.5 GPM (Obsolete)'!$H$27*'2.5 GPM (Obsolete)'!$C$27*100000)</f>
        <v>4.5956870415920923</v>
      </c>
      <c r="H39" s="139">
        <f>(H$25*'2.5 GPM (Obsolete)'!$D$27*'2.5 GPM (Obsolete)'!$E$27*('2.5 GPM (Obsolete)'!$G$27-$V14))/('2.5 GPM (Obsolete)'!$H$27*'2.5 GPM (Obsolete)'!$C$27*100000)</f>
        <v>3.4467652811940717</v>
      </c>
      <c r="J39" s="26"/>
      <c r="K39" s="26"/>
      <c r="L39" s="26"/>
      <c r="M39" s="26"/>
      <c r="N39" s="26"/>
      <c r="O39" s="26"/>
    </row>
    <row r="40" spans="2:15" x14ac:dyDescent="0.3">
      <c r="B40" s="77">
        <v>11</v>
      </c>
      <c r="C40" s="141">
        <f>(C$25*'2.5 GPM (Obsolete)'!$D$27*'2.5 GPM (Obsolete)'!$E$27*('2.5 GPM (Obsolete)'!$G$27-$Q15))/('2.5 GPM (Obsolete)'!$H$27*'2.5 GPM (Obsolete)'!$C$27*100000)</f>
        <v>5.2833516878401303</v>
      </c>
      <c r="D40" s="141">
        <f>(D$25*'2.5 GPM (Obsolete)'!$D$27*'2.5 GPM (Obsolete)'!$E$27*('2.5 GPM (Obsolete)'!$G$27-$Q15))/('2.5 GPM (Obsolete)'!$H$27*'2.5 GPM (Obsolete)'!$C$27*100000)</f>
        <v>4.2266813502721012</v>
      </c>
      <c r="E40" s="141">
        <f>(E$25*'2.5 GPM (Obsolete)'!$D$27*'2.5 GPM (Obsolete)'!$E$27*('2.5 GPM (Obsolete)'!$G$27-$Q15))/('2.5 GPM (Obsolete)'!$H$27*'2.5 GPM (Obsolete)'!$C$27*100000)</f>
        <v>3.170011012704077</v>
      </c>
      <c r="F40" s="139">
        <f>(F$25*'2.5 GPM (Obsolete)'!$D$27*'2.5 GPM (Obsolete)'!$E$27*('2.5 GPM (Obsolete)'!$G$27-$V15))/('2.5 GPM (Obsolete)'!$H$27*'2.5 GPM (Obsolete)'!$C$27*100000)</f>
        <v>5.9260816318494447</v>
      </c>
      <c r="G40" s="139">
        <f>(G$25*'2.5 GPM (Obsolete)'!$D$27*'2.5 GPM (Obsolete)'!$E$27*('2.5 GPM (Obsolete)'!$G$27-$V15))/('2.5 GPM (Obsolete)'!$H$27*'2.5 GPM (Obsolete)'!$C$27*100000)</f>
        <v>4.7408653054795566</v>
      </c>
      <c r="H40" s="139">
        <f>(H$25*'2.5 GPM (Obsolete)'!$D$27*'2.5 GPM (Obsolete)'!$E$27*('2.5 GPM (Obsolete)'!$G$27-$V15))/('2.5 GPM (Obsolete)'!$H$27*'2.5 GPM (Obsolete)'!$C$27*100000)</f>
        <v>3.5556489791096699</v>
      </c>
      <c r="J40" s="26"/>
      <c r="K40" s="26"/>
      <c r="L40" s="26"/>
      <c r="M40" s="26"/>
      <c r="N40" s="26"/>
      <c r="O40" s="26"/>
    </row>
    <row r="41" spans="2:15" x14ac:dyDescent="0.3">
      <c r="B41" s="77">
        <v>12</v>
      </c>
      <c r="C41" s="141">
        <f>(C$25*'2.5 GPM (Obsolete)'!$D$27*'2.5 GPM (Obsolete)'!$E$27*('2.5 GPM (Obsolete)'!$G$27-$Q16))/('2.5 GPM (Obsolete)'!$H$27*'2.5 GPM (Obsolete)'!$C$27*100000)</f>
        <v>5.5421346435657739</v>
      </c>
      <c r="D41" s="141">
        <f>(D$25*'2.5 GPM (Obsolete)'!$D$27*'2.5 GPM (Obsolete)'!$E$27*('2.5 GPM (Obsolete)'!$G$27-$Q16))/('2.5 GPM (Obsolete)'!$H$27*'2.5 GPM (Obsolete)'!$C$27*100000)</f>
        <v>4.4337077148526163</v>
      </c>
      <c r="E41" s="141">
        <f>(E$25*'2.5 GPM (Obsolete)'!$D$27*'2.5 GPM (Obsolete)'!$E$27*('2.5 GPM (Obsolete)'!$G$27-$Q16))/('2.5 GPM (Obsolete)'!$H$27*'2.5 GPM (Obsolete)'!$C$27*100000)</f>
        <v>3.3252807861394635</v>
      </c>
      <c r="F41" s="139">
        <f>(F$25*'2.5 GPM (Obsolete)'!$D$27*'2.5 GPM (Obsolete)'!$E$27*('2.5 GPM (Obsolete)'!$G$27-$V16))/('2.5 GPM (Obsolete)'!$H$27*'2.5 GPM (Obsolete)'!$C$27*100000)</f>
        <v>6.2003780495108343</v>
      </c>
      <c r="G41" s="139">
        <f>(G$25*'2.5 GPM (Obsolete)'!$D$27*'2.5 GPM (Obsolete)'!$E$27*('2.5 GPM (Obsolete)'!$G$27-$V16))/('2.5 GPM (Obsolete)'!$H$27*'2.5 GPM (Obsolete)'!$C$27*100000)</f>
        <v>4.9603024396086672</v>
      </c>
      <c r="H41" s="139">
        <f>(H$25*'2.5 GPM (Obsolete)'!$D$27*'2.5 GPM (Obsolete)'!$E$27*('2.5 GPM (Obsolete)'!$G$27-$V16))/('2.5 GPM (Obsolete)'!$H$27*'2.5 GPM (Obsolete)'!$C$27*100000)</f>
        <v>3.7202268297065038</v>
      </c>
      <c r="J41" s="26"/>
      <c r="K41" s="26"/>
      <c r="L41" s="26"/>
      <c r="M41" s="26"/>
      <c r="N41" s="26"/>
      <c r="O41" s="26"/>
    </row>
    <row r="42" spans="2:15" x14ac:dyDescent="0.3">
      <c r="B42" s="77">
        <v>13</v>
      </c>
      <c r="C42" s="141">
        <f>(C$25*'2.5 GPM (Obsolete)'!$D$27*'2.5 GPM (Obsolete)'!$E$27*('2.5 GPM (Obsolete)'!$G$27-$Q17))/('2.5 GPM (Obsolete)'!$H$27*'2.5 GPM (Obsolete)'!$C$27*100000)</f>
        <v>5.1710693725606047</v>
      </c>
      <c r="D42" s="141">
        <f>(D$25*'2.5 GPM (Obsolete)'!$D$27*'2.5 GPM (Obsolete)'!$E$27*('2.5 GPM (Obsolete)'!$G$27-$Q17))/('2.5 GPM (Obsolete)'!$H$27*'2.5 GPM (Obsolete)'!$C$27*100000)</f>
        <v>4.1368554980484813</v>
      </c>
      <c r="E42" s="141">
        <f>(E$25*'2.5 GPM (Obsolete)'!$D$27*'2.5 GPM (Obsolete)'!$E$27*('2.5 GPM (Obsolete)'!$G$27-$Q17))/('2.5 GPM (Obsolete)'!$H$27*'2.5 GPM (Obsolete)'!$C$27*100000)</f>
        <v>3.1026416235363623</v>
      </c>
      <c r="F42" s="139">
        <f>(F$25*'2.5 GPM (Obsolete)'!$D$27*'2.5 GPM (Obsolete)'!$E$27*('2.5 GPM (Obsolete)'!$G$27-$V17))/('2.5 GPM (Obsolete)'!$H$27*'2.5 GPM (Obsolete)'!$C$27*100000)</f>
        <v>5.8001218607959348</v>
      </c>
      <c r="G42" s="139">
        <f>(G$25*'2.5 GPM (Obsolete)'!$D$27*'2.5 GPM (Obsolete)'!$E$27*('2.5 GPM (Obsolete)'!$G$27-$V17))/('2.5 GPM (Obsolete)'!$H$27*'2.5 GPM (Obsolete)'!$C$27*100000)</f>
        <v>4.6400974886367488</v>
      </c>
      <c r="H42" s="139">
        <f>(H$25*'2.5 GPM (Obsolete)'!$D$27*'2.5 GPM (Obsolete)'!$E$27*('2.5 GPM (Obsolete)'!$G$27-$V17))/('2.5 GPM (Obsolete)'!$H$27*'2.5 GPM (Obsolete)'!$C$27*100000)</f>
        <v>3.4800731164775636</v>
      </c>
      <c r="J42" s="26"/>
      <c r="K42" s="26"/>
      <c r="L42" s="26"/>
      <c r="M42" s="26"/>
      <c r="N42" s="26"/>
      <c r="O42" s="26"/>
    </row>
    <row r="43" spans="2:15" x14ac:dyDescent="0.3">
      <c r="B43" s="77">
        <v>14</v>
      </c>
      <c r="C43" s="141">
        <f>(C$25*'2.5 GPM (Obsolete)'!$D$27*'2.5 GPM (Obsolete)'!$E$27*('2.5 GPM (Obsolete)'!$G$27-$Q18))/('2.5 GPM (Obsolete)'!$H$27*'2.5 GPM (Obsolete)'!$C$27*100000)</f>
        <v>5.3477139368070361</v>
      </c>
      <c r="D43" s="141">
        <f>(D$25*'2.5 GPM (Obsolete)'!$D$27*'2.5 GPM (Obsolete)'!$E$27*('2.5 GPM (Obsolete)'!$G$27-$Q18))/('2.5 GPM (Obsolete)'!$H$27*'2.5 GPM (Obsolete)'!$C$27*100000)</f>
        <v>4.278171149445626</v>
      </c>
      <c r="E43" s="141">
        <f>(E$25*'2.5 GPM (Obsolete)'!$D$27*'2.5 GPM (Obsolete)'!$E$27*('2.5 GPM (Obsolete)'!$G$27-$Q18))/('2.5 GPM (Obsolete)'!$H$27*'2.5 GPM (Obsolete)'!$C$27*100000)</f>
        <v>3.2086283620842204</v>
      </c>
      <c r="F43" s="139">
        <f>(F$25*'2.5 GPM (Obsolete)'!$D$27*'2.5 GPM (Obsolete)'!$E$27*('2.5 GPM (Obsolete)'!$G$27-$V18))/('2.5 GPM (Obsolete)'!$H$27*'2.5 GPM (Obsolete)'!$C$27*100000)</f>
        <v>5.9979134614123168</v>
      </c>
      <c r="G43" s="139">
        <f>(G$25*'2.5 GPM (Obsolete)'!$D$27*'2.5 GPM (Obsolete)'!$E$27*('2.5 GPM (Obsolete)'!$G$27-$V18))/('2.5 GPM (Obsolete)'!$H$27*'2.5 GPM (Obsolete)'!$C$27*100000)</f>
        <v>4.7983307691298549</v>
      </c>
      <c r="H43" s="139">
        <f>(H$25*'2.5 GPM (Obsolete)'!$D$27*'2.5 GPM (Obsolete)'!$E$27*('2.5 GPM (Obsolete)'!$G$27-$V18))/('2.5 GPM (Obsolete)'!$H$27*'2.5 GPM (Obsolete)'!$C$27*100000)</f>
        <v>3.5987480768473938</v>
      </c>
      <c r="J43" s="26"/>
      <c r="K43" s="26"/>
      <c r="L43" s="26"/>
      <c r="M43" s="26"/>
      <c r="N43" s="26"/>
      <c r="O43" s="26"/>
    </row>
    <row r="44" spans="2:15" x14ac:dyDescent="0.3">
      <c r="B44" s="77">
        <v>15</v>
      </c>
      <c r="C44" s="141">
        <f>(C$25*'2.5 GPM (Obsolete)'!$D$27*'2.5 GPM (Obsolete)'!$E$27*('2.5 GPM (Obsolete)'!$G$27-$Q19))/('2.5 GPM (Obsolete)'!$H$27*'2.5 GPM (Obsolete)'!$C$27*100000)</f>
        <v>3.8052083010776196</v>
      </c>
      <c r="D44" s="141">
        <f>(D$25*'2.5 GPM (Obsolete)'!$D$27*'2.5 GPM (Obsolete)'!$E$27*('2.5 GPM (Obsolete)'!$G$27-$Q19))/('2.5 GPM (Obsolete)'!$H$27*'2.5 GPM (Obsolete)'!$C$27*100000)</f>
        <v>3.0441666408620938</v>
      </c>
      <c r="E44" s="141">
        <f>(E$25*'2.5 GPM (Obsolete)'!$D$27*'2.5 GPM (Obsolete)'!$E$27*('2.5 GPM (Obsolete)'!$G$27-$Q19))/('2.5 GPM (Obsolete)'!$H$27*'2.5 GPM (Obsolete)'!$C$27*100000)</f>
        <v>2.2831249806465714</v>
      </c>
      <c r="F44" s="139">
        <f>(F$25*'2.5 GPM (Obsolete)'!$D$27*'2.5 GPM (Obsolete)'!$E$27*('2.5 GPM (Obsolete)'!$G$27-$V19))/('2.5 GPM (Obsolete)'!$H$27*'2.5 GPM (Obsolete)'!$C$27*100000)</f>
        <v>4.2966651179161515</v>
      </c>
      <c r="G44" s="139">
        <f>(G$25*'2.5 GPM (Obsolete)'!$D$27*'2.5 GPM (Obsolete)'!$E$27*('2.5 GPM (Obsolete)'!$G$27-$V19))/('2.5 GPM (Obsolete)'!$H$27*'2.5 GPM (Obsolete)'!$C$27*100000)</f>
        <v>3.4373320943329215</v>
      </c>
      <c r="H44" s="139">
        <f>(H$25*'2.5 GPM (Obsolete)'!$D$27*'2.5 GPM (Obsolete)'!$E$27*('2.5 GPM (Obsolete)'!$G$27-$V19))/('2.5 GPM (Obsolete)'!$H$27*'2.5 GPM (Obsolete)'!$C$27*100000)</f>
        <v>2.5779990707496929</v>
      </c>
      <c r="J44" s="26"/>
      <c r="K44" s="26"/>
      <c r="L44" s="26"/>
      <c r="M44" s="26"/>
      <c r="N44" s="26"/>
      <c r="O44" s="26"/>
    </row>
    <row r="45" spans="2:15" x14ac:dyDescent="0.3">
      <c r="B45" s="77">
        <v>16</v>
      </c>
      <c r="C45" s="141">
        <f>(C$25*'2.5 GPM (Obsolete)'!$D$27*'2.5 GPM (Obsolete)'!$E$27*('2.5 GPM (Obsolete)'!$G$27-$Q20))/('2.5 GPM (Obsolete)'!$H$27*'2.5 GPM (Obsolete)'!$C$27*100000)</f>
        <v>6.6623469506303437</v>
      </c>
      <c r="D45" s="141">
        <f>(D$25*'2.5 GPM (Obsolete)'!$D$27*'2.5 GPM (Obsolete)'!$E$27*('2.5 GPM (Obsolete)'!$G$27-$Q20))/('2.5 GPM (Obsolete)'!$H$27*'2.5 GPM (Obsolete)'!$C$27*100000)</f>
        <v>5.3298775605042712</v>
      </c>
      <c r="E45" s="141">
        <f>(E$25*'2.5 GPM (Obsolete)'!$D$27*'2.5 GPM (Obsolete)'!$E$27*('2.5 GPM (Obsolete)'!$G$27-$Q20))/('2.5 GPM (Obsolete)'!$H$27*'2.5 GPM (Obsolete)'!$C$27*100000)</f>
        <v>3.997408170378205</v>
      </c>
      <c r="F45" s="139">
        <f>(F$25*'2.5 GPM (Obsolete)'!$D$27*'2.5 GPM (Obsolete)'!$E$27*('2.5 GPM (Obsolete)'!$G$27-$V20))/('2.5 GPM (Obsolete)'!$H$27*'2.5 GPM (Obsolete)'!$C$27*100000)</f>
        <v>7.4519046051926257</v>
      </c>
      <c r="G45" s="139">
        <f>(G$25*'2.5 GPM (Obsolete)'!$D$27*'2.5 GPM (Obsolete)'!$E$27*('2.5 GPM (Obsolete)'!$G$27-$V20))/('2.5 GPM (Obsolete)'!$H$27*'2.5 GPM (Obsolete)'!$C$27*100000)</f>
        <v>5.9615236841541019</v>
      </c>
      <c r="H45" s="139">
        <f>(H$25*'2.5 GPM (Obsolete)'!$D$27*'2.5 GPM (Obsolete)'!$E$27*('2.5 GPM (Obsolete)'!$G$27-$V20))/('2.5 GPM (Obsolete)'!$H$27*'2.5 GPM (Obsolete)'!$C$27*100000)</f>
        <v>4.4711427631155791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112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($I$25*'2.5 GPM (Obsolete)'!$D$27*'2.5 GPM (Obsolete)'!$E$27*('2.5 GPM (Obsolete)'!$G$27-$Q5))/('2.5 GPM (Obsolete)'!$H$27*'2.5 GPM (Obsolete)'!$C$27*100000)</f>
        <v>10.029859287025197</v>
      </c>
      <c r="D48" s="139">
        <f>($J$25*'2.5 GPM (Obsolete)'!$D$27*'2.5 GPM (Obsolete)'!$E$27*('2.5 GPM (Obsolete)'!$G$27-$Q5))/('2.5 GPM (Obsolete)'!$H$27*'2.5 GPM (Obsolete)'!$C$27*100000)</f>
        <v>13.373145716033598</v>
      </c>
      <c r="E48" s="127"/>
      <c r="F48" s="139">
        <f>($K$25*'2.5 GPM (Obsolete)'!$D$27*'2.5 GPM (Obsolete)'!$E$27*('2.5 GPM (Obsolete)'!$G$27-$Q5))/('2.5 GPM (Obsolete)'!$H$27*'2.5 GPM (Obsolete)'!$C$27*100000)</f>
        <v>11.19920982210944</v>
      </c>
      <c r="G48" s="139">
        <f>($L$25*'2.5 GPM (Obsolete)'!$D$27*'2.5 GPM (Obsolete)'!$E$27*('2.5 GPM (Obsolete)'!$G$27-$Q5))/('2.5 GPM (Obsolete)'!$H$27*'2.5 GPM (Obsolete)'!$C$27*100000)</f>
        <v>14.932279762812584</v>
      </c>
      <c r="H48" s="127"/>
    </row>
    <row r="49" spans="2:8" x14ac:dyDescent="0.3">
      <c r="B49" s="77">
        <v>2</v>
      </c>
      <c r="C49" s="139">
        <f>($I$25*'2.5 GPM (Obsolete)'!$D$27*'2.5 GPM (Obsolete)'!$E$27*('2.5 GPM (Obsolete)'!$G$27-$Q6))/('2.5 GPM (Obsolete)'!$H$27*'2.5 GPM (Obsolete)'!$C$27*100000)</f>
        <v>8.9538583396431779</v>
      </c>
      <c r="D49" s="139">
        <f>($J$25*'2.5 GPM (Obsolete)'!$D$27*'2.5 GPM (Obsolete)'!$E$27*('2.5 GPM (Obsolete)'!$G$27-$Q6))/('2.5 GPM (Obsolete)'!$H$27*'2.5 GPM (Obsolete)'!$C$27*100000)</f>
        <v>11.938477786190905</v>
      </c>
      <c r="E49" s="127"/>
      <c r="F49" s="139">
        <f>($K$25*'2.5 GPM (Obsolete)'!$D$27*'2.5 GPM (Obsolete)'!$E$27*('2.5 GPM (Obsolete)'!$G$27-$Q6))/('2.5 GPM (Obsolete)'!$H$27*'2.5 GPM (Obsolete)'!$C$27*100000)</f>
        <v>9.99776122411083</v>
      </c>
      <c r="G49" s="139">
        <f>($L$25*'2.5 GPM (Obsolete)'!$D$27*'2.5 GPM (Obsolete)'!$E$27*('2.5 GPM (Obsolete)'!$G$27-$Q6))/('2.5 GPM (Obsolete)'!$H$27*'2.5 GPM (Obsolete)'!$C$27*100000)</f>
        <v>13.330348298814437</v>
      </c>
      <c r="H49" s="127"/>
    </row>
    <row r="50" spans="2:8" x14ac:dyDescent="0.3">
      <c r="B50" s="77">
        <v>3</v>
      </c>
      <c r="C50" s="139">
        <f>($I$25*'2.5 GPM (Obsolete)'!$D$27*'2.5 GPM (Obsolete)'!$E$27*('2.5 GPM (Obsolete)'!$G$27-$Q7))/('2.5 GPM (Obsolete)'!$H$27*'2.5 GPM (Obsolete)'!$C$27*100000)</f>
        <v>8.9921124348286963</v>
      </c>
      <c r="D50" s="139">
        <f>($J$25*'2.5 GPM (Obsolete)'!$D$27*'2.5 GPM (Obsolete)'!$E$27*('2.5 GPM (Obsolete)'!$G$27-$Q7))/('2.5 GPM (Obsolete)'!$H$27*'2.5 GPM (Obsolete)'!$C$27*100000)</f>
        <v>11.989483246438263</v>
      </c>
      <c r="E50" s="127"/>
      <c r="F50" s="139">
        <f>($K$25*'2.5 GPM (Obsolete)'!$D$27*'2.5 GPM (Obsolete)'!$E$27*('2.5 GPM (Obsolete)'!$G$27-$Q7))/('2.5 GPM (Obsolete)'!$H$27*'2.5 GPM (Obsolete)'!$C$27*100000)</f>
        <v>10.040475246937827</v>
      </c>
      <c r="G50" s="139">
        <f>($L$25*'2.5 GPM (Obsolete)'!$D$27*'2.5 GPM (Obsolete)'!$E$27*('2.5 GPM (Obsolete)'!$G$27-$Q7))/('2.5 GPM (Obsolete)'!$H$27*'2.5 GPM (Obsolete)'!$C$27*100000)</f>
        <v>13.387300329250433</v>
      </c>
      <c r="H50" s="127"/>
    </row>
    <row r="51" spans="2:8" x14ac:dyDescent="0.3">
      <c r="B51" s="77">
        <v>4</v>
      </c>
      <c r="C51" s="139">
        <f>($I$25*'2.5 GPM (Obsolete)'!$D$27*'2.5 GPM (Obsolete)'!$E$27*('2.5 GPM (Obsolete)'!$G$27-$Q8))/('2.5 GPM (Obsolete)'!$H$27*'2.5 GPM (Obsolete)'!$C$27*100000)</f>
        <v>8.5492666982431231</v>
      </c>
      <c r="D51" s="139">
        <f>($J$25*'2.5 GPM (Obsolete)'!$D$27*'2.5 GPM (Obsolete)'!$E$27*('2.5 GPM (Obsolete)'!$G$27-$Q8))/('2.5 GPM (Obsolete)'!$H$27*'2.5 GPM (Obsolete)'!$C$27*100000)</f>
        <v>11.399022264324165</v>
      </c>
      <c r="E51" s="127"/>
      <c r="F51" s="139">
        <f>($K$25*'2.5 GPM (Obsolete)'!$D$27*'2.5 GPM (Obsolete)'!$E$27*('2.5 GPM (Obsolete)'!$G$27-$Q8))/('2.5 GPM (Obsolete)'!$H$27*'2.5 GPM (Obsolete)'!$C$27*100000)</f>
        <v>9.5459994840261597</v>
      </c>
      <c r="G51" s="139">
        <f>($L$25*'2.5 GPM (Obsolete)'!$D$27*'2.5 GPM (Obsolete)'!$E$27*('2.5 GPM (Obsolete)'!$G$27-$Q8))/('2.5 GPM (Obsolete)'!$H$27*'2.5 GPM (Obsolete)'!$C$27*100000)</f>
        <v>12.727999312034878</v>
      </c>
      <c r="H51" s="127"/>
    </row>
    <row r="52" spans="2:8" x14ac:dyDescent="0.3">
      <c r="B52" s="77">
        <v>5</v>
      </c>
      <c r="C52" s="139">
        <f>($I$25*'2.5 GPM (Obsolete)'!$D$27*'2.5 GPM (Obsolete)'!$E$27*('2.5 GPM (Obsolete)'!$G$27-$Q9))/('2.5 GPM (Obsolete)'!$H$27*'2.5 GPM (Obsolete)'!$C$27*100000)</f>
        <v>9.2140202687093691</v>
      </c>
      <c r="D52" s="139">
        <f>($J$25*'2.5 GPM (Obsolete)'!$D$27*'2.5 GPM (Obsolete)'!$E$27*('2.5 GPM (Obsolete)'!$G$27-$Q9))/('2.5 GPM (Obsolete)'!$H$27*'2.5 GPM (Obsolete)'!$C$27*100000)</f>
        <v>12.285360358279162</v>
      </c>
      <c r="E52" s="127"/>
      <c r="F52" s="139">
        <f>($K$25*'2.5 GPM (Obsolete)'!$D$27*'2.5 GPM (Obsolete)'!$E$27*('2.5 GPM (Obsolete)'!$G$27-$Q9))/('2.5 GPM (Obsolete)'!$H$27*'2.5 GPM (Obsolete)'!$C$27*100000)</f>
        <v>10.288254634632162</v>
      </c>
      <c r="G52" s="139">
        <f>($L$25*'2.5 GPM (Obsolete)'!$D$27*'2.5 GPM (Obsolete)'!$E$27*('2.5 GPM (Obsolete)'!$G$27-$Q9))/('2.5 GPM (Obsolete)'!$H$27*'2.5 GPM (Obsolete)'!$C$27*100000)</f>
        <v>13.717672846176216</v>
      </c>
      <c r="H52" s="127"/>
    </row>
    <row r="53" spans="2:8" x14ac:dyDescent="0.3">
      <c r="B53" s="77">
        <v>6</v>
      </c>
      <c r="C53" s="139">
        <f>($I$25*'2.5 GPM (Obsolete)'!$D$27*'2.5 GPM (Obsolete)'!$E$27*('2.5 GPM (Obsolete)'!$G$27-$Q10))/('2.5 GPM (Obsolete)'!$H$27*'2.5 GPM (Obsolete)'!$C$27*100000)</f>
        <v>8.1314723312160133</v>
      </c>
      <c r="D53" s="139">
        <f>($J$25*'2.5 GPM (Obsolete)'!$D$27*'2.5 GPM (Obsolete)'!$E$27*('2.5 GPM (Obsolete)'!$G$27-$Q10))/('2.5 GPM (Obsolete)'!$H$27*'2.5 GPM (Obsolete)'!$C$27*100000)</f>
        <v>10.841963108288022</v>
      </c>
      <c r="E53" s="127"/>
      <c r="F53" s="139">
        <f>($K$25*'2.5 GPM (Obsolete)'!$D$27*'2.5 GPM (Obsolete)'!$E$27*('2.5 GPM (Obsolete)'!$G$27-$Q10))/('2.5 GPM (Obsolete)'!$H$27*'2.5 GPM (Obsolete)'!$C$27*100000)</f>
        <v>9.0794957530231954</v>
      </c>
      <c r="G53" s="139">
        <f>($L$25*'2.5 GPM (Obsolete)'!$D$27*'2.5 GPM (Obsolete)'!$E$27*('2.5 GPM (Obsolete)'!$G$27-$Q10))/('2.5 GPM (Obsolete)'!$H$27*'2.5 GPM (Obsolete)'!$C$27*100000)</f>
        <v>12.105994337364258</v>
      </c>
      <c r="H53" s="127"/>
    </row>
    <row r="54" spans="2:8" x14ac:dyDescent="0.3">
      <c r="B54" s="77">
        <v>7</v>
      </c>
      <c r="C54" s="139">
        <f>($I$25*'2.5 GPM (Obsolete)'!$D$27*'2.5 GPM (Obsolete)'!$E$27*('2.5 GPM (Obsolete)'!$G$27-$Q11))/('2.5 GPM (Obsolete)'!$H$27*'2.5 GPM (Obsolete)'!$C$27*100000)</f>
        <v>7.9825948475733899</v>
      </c>
      <c r="D54" s="139">
        <f>($J$25*'2.5 GPM (Obsolete)'!$D$27*'2.5 GPM (Obsolete)'!$E$27*('2.5 GPM (Obsolete)'!$G$27-$Q11))/('2.5 GPM (Obsolete)'!$H$27*'2.5 GPM (Obsolete)'!$C$27*100000)</f>
        <v>10.643459796764521</v>
      </c>
      <c r="E54" s="127"/>
      <c r="F54" s="139">
        <f>($K$25*'2.5 GPM (Obsolete)'!$D$27*'2.5 GPM (Obsolete)'!$E$27*('2.5 GPM (Obsolete)'!$G$27-$Q11))/('2.5 GPM (Obsolete)'!$H$27*'2.5 GPM (Obsolete)'!$C$27*100000)</f>
        <v>8.9132611001344682</v>
      </c>
      <c r="G54" s="139">
        <f>($L$25*'2.5 GPM (Obsolete)'!$D$27*'2.5 GPM (Obsolete)'!$E$27*('2.5 GPM (Obsolete)'!$G$27-$Q11))/('2.5 GPM (Obsolete)'!$H$27*'2.5 GPM (Obsolete)'!$C$27*100000)</f>
        <v>11.884348133512622</v>
      </c>
      <c r="H54" s="127"/>
    </row>
    <row r="55" spans="2:8" x14ac:dyDescent="0.3">
      <c r="B55" s="77">
        <v>8</v>
      </c>
      <c r="C55" s="139">
        <f>($I$25*'2.5 GPM (Obsolete)'!$D$27*'2.5 GPM (Obsolete)'!$E$27*('2.5 GPM (Obsolete)'!$G$27-$Q12))/('2.5 GPM (Obsolete)'!$H$27*'2.5 GPM (Obsolete)'!$C$27*100000)</f>
        <v>7.7692130453173709</v>
      </c>
      <c r="D55" s="139">
        <f>($J$25*'2.5 GPM (Obsolete)'!$D$27*'2.5 GPM (Obsolete)'!$E$27*('2.5 GPM (Obsolete)'!$G$27-$Q12))/('2.5 GPM (Obsolete)'!$H$27*'2.5 GPM (Obsolete)'!$C$27*100000)</f>
        <v>10.35895072708983</v>
      </c>
      <c r="E55" s="127"/>
      <c r="F55" s="139">
        <f>($K$25*'2.5 GPM (Obsolete)'!$D$27*'2.5 GPM (Obsolete)'!$E$27*('2.5 GPM (Obsolete)'!$G$27-$Q12))/('2.5 GPM (Obsolete)'!$H$27*'2.5 GPM (Obsolete)'!$C$27*100000)</f>
        <v>8.6750017679445968</v>
      </c>
      <c r="G55" s="139">
        <f>($L$25*'2.5 GPM (Obsolete)'!$D$27*'2.5 GPM (Obsolete)'!$E$27*('2.5 GPM (Obsolete)'!$G$27-$Q12))/('2.5 GPM (Obsolete)'!$H$27*'2.5 GPM (Obsolete)'!$C$27*100000)</f>
        <v>11.566669023926126</v>
      </c>
      <c r="H55" s="127"/>
    </row>
    <row r="56" spans="2:8" x14ac:dyDescent="0.3">
      <c r="B56" s="77">
        <v>9</v>
      </c>
      <c r="C56" s="139">
        <f>($I$25*'2.5 GPM (Obsolete)'!$D$27*'2.5 GPM (Obsolete)'!$E$27*('2.5 GPM (Obsolete)'!$G$27-$Q13))/('2.5 GPM (Obsolete)'!$H$27*'2.5 GPM (Obsolete)'!$C$27*100000)</f>
        <v>7.7594359604492151</v>
      </c>
      <c r="D56" s="139">
        <f>($J$25*'2.5 GPM (Obsolete)'!$D$27*'2.5 GPM (Obsolete)'!$E$27*('2.5 GPM (Obsolete)'!$G$27-$Q13))/('2.5 GPM (Obsolete)'!$H$27*'2.5 GPM (Obsolete)'!$C$27*100000)</f>
        <v>10.34591461393229</v>
      </c>
      <c r="E56" s="127"/>
      <c r="F56" s="139">
        <f>($K$25*'2.5 GPM (Obsolete)'!$D$27*'2.5 GPM (Obsolete)'!$E$27*('2.5 GPM (Obsolete)'!$G$27-$Q13))/('2.5 GPM (Obsolete)'!$H$27*'2.5 GPM (Obsolete)'!$C$27*100000)</f>
        <v>8.664084802735653</v>
      </c>
      <c r="G56" s="139">
        <f>($L$25*'2.5 GPM (Obsolete)'!$D$27*'2.5 GPM (Obsolete)'!$E$27*('2.5 GPM (Obsolete)'!$G$27-$Q13))/('2.5 GPM (Obsolete)'!$H$27*'2.5 GPM (Obsolete)'!$C$27*100000)</f>
        <v>11.552113070314201</v>
      </c>
      <c r="H56" s="127"/>
    </row>
    <row r="57" spans="2:8" x14ac:dyDescent="0.3">
      <c r="B57" s="77">
        <v>10</v>
      </c>
      <c r="C57" s="139">
        <f>($I$25*'2.5 GPM (Obsolete)'!$D$27*'2.5 GPM (Obsolete)'!$E$27*('2.5 GPM (Obsolete)'!$G$27-$Q14))/('2.5 GPM (Obsolete)'!$H$27*'2.5 GPM (Obsolete)'!$C$27*100000)</f>
        <v>7.7051028810557627</v>
      </c>
      <c r="D57" s="139">
        <f>($J$25*'2.5 GPM (Obsolete)'!$D$27*'2.5 GPM (Obsolete)'!$E$27*('2.5 GPM (Obsolete)'!$G$27-$Q14))/('2.5 GPM (Obsolete)'!$H$27*'2.5 GPM (Obsolete)'!$C$27*100000)</f>
        <v>10.273470508074354</v>
      </c>
      <c r="E57" s="127"/>
      <c r="F57" s="139">
        <f>($K$25*'2.5 GPM (Obsolete)'!$D$27*'2.5 GPM (Obsolete)'!$E$27*('2.5 GPM (Obsolete)'!$G$27-$Q14))/('2.5 GPM (Obsolete)'!$H$27*'2.5 GPM (Obsolete)'!$C$27*100000)</f>
        <v>8.6034171962423347</v>
      </c>
      <c r="G57" s="139">
        <f>($L$25*'2.5 GPM (Obsolete)'!$D$27*'2.5 GPM (Obsolete)'!$E$27*('2.5 GPM (Obsolete)'!$G$27-$Q14))/('2.5 GPM (Obsolete)'!$H$27*'2.5 GPM (Obsolete)'!$C$27*100000)</f>
        <v>11.47122292832311</v>
      </c>
      <c r="H57" s="127"/>
    </row>
    <row r="58" spans="2:8" x14ac:dyDescent="0.3">
      <c r="B58" s="77">
        <v>11</v>
      </c>
      <c r="C58" s="139">
        <f>($I$25*'2.5 GPM (Obsolete)'!$D$27*'2.5 GPM (Obsolete)'!$E$27*('2.5 GPM (Obsolete)'!$G$27-$Q15))/('2.5 GPM (Obsolete)'!$H$27*'2.5 GPM (Obsolete)'!$C$27*100000)</f>
        <v>7.9250275317601924</v>
      </c>
      <c r="D58" s="139">
        <f>($J$25*'2.5 GPM (Obsolete)'!$D$27*'2.5 GPM (Obsolete)'!$E$27*('2.5 GPM (Obsolete)'!$G$27-$Q15))/('2.5 GPM (Obsolete)'!$H$27*'2.5 GPM (Obsolete)'!$C$27*100000)</f>
        <v>10.566703375680261</v>
      </c>
      <c r="E58" s="127"/>
      <c r="F58" s="139">
        <f>($K$25*'2.5 GPM (Obsolete)'!$D$27*'2.5 GPM (Obsolete)'!$E$27*('2.5 GPM (Obsolete)'!$G$27-$Q15))/('2.5 GPM (Obsolete)'!$H$27*'2.5 GPM (Obsolete)'!$C$27*100000)</f>
        <v>8.8489821875158601</v>
      </c>
      <c r="G58" s="139">
        <f>($L$25*'2.5 GPM (Obsolete)'!$D$27*'2.5 GPM (Obsolete)'!$E$27*('2.5 GPM (Obsolete)'!$G$27-$Q15))/('2.5 GPM (Obsolete)'!$H$27*'2.5 GPM (Obsolete)'!$C$27*100000)</f>
        <v>11.798642916687813</v>
      </c>
      <c r="H58" s="127"/>
    </row>
    <row r="59" spans="2:8" x14ac:dyDescent="0.3">
      <c r="B59" s="77">
        <v>12</v>
      </c>
      <c r="C59" s="139">
        <f>($I$25*'2.5 GPM (Obsolete)'!$D$27*'2.5 GPM (Obsolete)'!$E$27*('2.5 GPM (Obsolete)'!$G$27-$Q16))/('2.5 GPM (Obsolete)'!$H$27*'2.5 GPM (Obsolete)'!$C$27*100000)</f>
        <v>8.3132019653486591</v>
      </c>
      <c r="D59" s="139">
        <f>($J$25*'2.5 GPM (Obsolete)'!$D$27*'2.5 GPM (Obsolete)'!$E$27*('2.5 GPM (Obsolete)'!$G$27-$Q16))/('2.5 GPM (Obsolete)'!$H$27*'2.5 GPM (Obsolete)'!$C$27*100000)</f>
        <v>11.084269287131548</v>
      </c>
      <c r="E59" s="127"/>
      <c r="F59" s="139">
        <f>($K$25*'2.5 GPM (Obsolete)'!$D$27*'2.5 GPM (Obsolete)'!$E$27*('2.5 GPM (Obsolete)'!$G$27-$Q16))/('2.5 GPM (Obsolete)'!$H$27*'2.5 GPM (Obsolete)'!$C$27*100000)</f>
        <v>9.2824126878778532</v>
      </c>
      <c r="G59" s="139">
        <f>($L$25*'2.5 GPM (Obsolete)'!$D$27*'2.5 GPM (Obsolete)'!$E$27*('2.5 GPM (Obsolete)'!$G$27-$Q16))/('2.5 GPM (Obsolete)'!$H$27*'2.5 GPM (Obsolete)'!$C$27*100000)</f>
        <v>12.376550250503804</v>
      </c>
      <c r="H59" s="127"/>
    </row>
    <row r="60" spans="2:8" x14ac:dyDescent="0.3">
      <c r="B60" s="77">
        <v>13</v>
      </c>
      <c r="C60" s="139">
        <f>($I$25*'2.5 GPM (Obsolete)'!$D$27*'2.5 GPM (Obsolete)'!$E$27*('2.5 GPM (Obsolete)'!$G$27-$Q17))/('2.5 GPM (Obsolete)'!$H$27*'2.5 GPM (Obsolete)'!$C$27*100000)</f>
        <v>7.7566040588409058</v>
      </c>
      <c r="D60" s="139">
        <f>($J$25*'2.5 GPM (Obsolete)'!$D$27*'2.5 GPM (Obsolete)'!$E$27*('2.5 GPM (Obsolete)'!$G$27-$Q17))/('2.5 GPM (Obsolete)'!$H$27*'2.5 GPM (Obsolete)'!$C$27*100000)</f>
        <v>10.342138745121209</v>
      </c>
      <c r="E60" s="127"/>
      <c r="F60" s="139">
        <f>($K$25*'2.5 GPM (Obsolete)'!$D$27*'2.5 GPM (Obsolete)'!$E$27*('2.5 GPM (Obsolete)'!$G$27-$Q17))/('2.5 GPM (Obsolete)'!$H$27*'2.5 GPM (Obsolete)'!$C$27*100000)</f>
        <v>8.6609227384035972</v>
      </c>
      <c r="G60" s="139">
        <f>($L$25*'2.5 GPM (Obsolete)'!$D$27*'2.5 GPM (Obsolete)'!$E$27*('2.5 GPM (Obsolete)'!$G$27-$Q17))/('2.5 GPM (Obsolete)'!$H$27*'2.5 GPM (Obsolete)'!$C$27*100000)</f>
        <v>11.547896984538127</v>
      </c>
      <c r="H60" s="127"/>
    </row>
    <row r="61" spans="2:8" x14ac:dyDescent="0.3">
      <c r="B61" s="77">
        <v>14</v>
      </c>
      <c r="C61" s="139">
        <f>($I$25*'2.5 GPM (Obsolete)'!$D$27*'2.5 GPM (Obsolete)'!$E$27*('2.5 GPM (Obsolete)'!$G$27-$Q18))/('2.5 GPM (Obsolete)'!$H$27*'2.5 GPM (Obsolete)'!$C$27*100000)</f>
        <v>8.0215709052105524</v>
      </c>
      <c r="D61" s="139">
        <f>($J$25*'2.5 GPM (Obsolete)'!$D$27*'2.5 GPM (Obsolete)'!$E$27*('2.5 GPM (Obsolete)'!$G$27-$Q18))/('2.5 GPM (Obsolete)'!$H$27*'2.5 GPM (Obsolete)'!$C$27*100000)</f>
        <v>10.695427873614072</v>
      </c>
      <c r="E61" s="127"/>
      <c r="F61" s="139">
        <f>($K$25*'2.5 GPM (Obsolete)'!$D$27*'2.5 GPM (Obsolete)'!$E$27*('2.5 GPM (Obsolete)'!$G$27-$Q18))/('2.5 GPM (Obsolete)'!$H$27*'2.5 GPM (Obsolete)'!$C$27*100000)</f>
        <v>8.9567812568012606</v>
      </c>
      <c r="G61" s="139">
        <f>($L$25*'2.5 GPM (Obsolete)'!$D$27*'2.5 GPM (Obsolete)'!$E$27*('2.5 GPM (Obsolete)'!$G$27-$Q18))/('2.5 GPM (Obsolete)'!$H$27*'2.5 GPM (Obsolete)'!$C$27*100000)</f>
        <v>11.942375009068344</v>
      </c>
      <c r="H61" s="127"/>
    </row>
    <row r="62" spans="2:8" x14ac:dyDescent="0.3">
      <c r="B62" s="77">
        <v>15</v>
      </c>
      <c r="C62" s="139">
        <f>($I$25*'2.5 GPM (Obsolete)'!$D$27*'2.5 GPM (Obsolete)'!$E$27*('2.5 GPM (Obsolete)'!$G$27-$Q19))/('2.5 GPM (Obsolete)'!$H$27*'2.5 GPM (Obsolete)'!$C$27*100000)</f>
        <v>5.7078124516164284</v>
      </c>
      <c r="D62" s="139">
        <f>($J$25*'2.5 GPM (Obsolete)'!$D$27*'2.5 GPM (Obsolete)'!$E$27*('2.5 GPM (Obsolete)'!$G$27-$Q19))/('2.5 GPM (Obsolete)'!$H$27*'2.5 GPM (Obsolete)'!$C$27*100000)</f>
        <v>7.6104166021552393</v>
      </c>
      <c r="E62" s="127"/>
      <c r="F62" s="139">
        <f>($K$25*'2.5 GPM (Obsolete)'!$D$27*'2.5 GPM (Obsolete)'!$E$27*('2.5 GPM (Obsolete)'!$G$27-$Q19))/('2.5 GPM (Obsolete)'!$H$27*'2.5 GPM (Obsolete)'!$C$27*100000)</f>
        <v>6.3732688008488001</v>
      </c>
      <c r="G62" s="139">
        <f>($L$25*'2.5 GPM (Obsolete)'!$D$27*'2.5 GPM (Obsolete)'!$E$27*('2.5 GPM (Obsolete)'!$G$27-$Q19))/('2.5 GPM (Obsolete)'!$H$27*'2.5 GPM (Obsolete)'!$C$27*100000)</f>
        <v>8.4976917344650662</v>
      </c>
      <c r="H62" s="127"/>
    </row>
    <row r="63" spans="2:8" x14ac:dyDescent="0.3">
      <c r="B63" s="77">
        <v>16</v>
      </c>
      <c r="C63" s="139">
        <f>($I$25*'2.5 GPM (Obsolete)'!$D$27*'2.5 GPM (Obsolete)'!$E$27*('2.5 GPM (Obsolete)'!$G$27-$Q20))/('2.5 GPM (Obsolete)'!$H$27*'2.5 GPM (Obsolete)'!$C$27*100000)</f>
        <v>9.9935204259455137</v>
      </c>
      <c r="D63" s="139">
        <f>($J$25*'2.5 GPM (Obsolete)'!$D$27*'2.5 GPM (Obsolete)'!$E$27*('2.5 GPM (Obsolete)'!$G$27-$Q20))/('2.5 GPM (Obsolete)'!$H$27*'2.5 GPM (Obsolete)'!$C$27*100000)</f>
        <v>13.324693901260687</v>
      </c>
      <c r="E63" s="127"/>
      <c r="F63" s="139">
        <f>($K$25*'2.5 GPM (Obsolete)'!$D$27*'2.5 GPM (Obsolete)'!$E$27*('2.5 GPM (Obsolete)'!$G$27-$Q20))/('2.5 GPM (Obsolete)'!$H$27*'2.5 GPM (Obsolete)'!$C$27*100000)</f>
        <v>11.158634324659111</v>
      </c>
      <c r="G63" s="139">
        <f>($L$25*'2.5 GPM (Obsolete)'!$D$27*'2.5 GPM (Obsolete)'!$E$27*('2.5 GPM (Obsolete)'!$G$27-$Q20))/('2.5 GPM (Obsolete)'!$H$27*'2.5 GPM (Obsolete)'!$C$27*100000)</f>
        <v>14.878179099545479</v>
      </c>
      <c r="H63" s="127"/>
    </row>
  </sheetData>
  <mergeCells count="7">
    <mergeCell ref="K27:O27"/>
    <mergeCell ref="C11:H11"/>
    <mergeCell ref="I11:N11"/>
    <mergeCell ref="C23:E23"/>
    <mergeCell ref="I23:J23"/>
    <mergeCell ref="K23:L23"/>
    <mergeCell ref="F23:H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topLeftCell="A13" zoomScale="80" zoomScaleNormal="80" workbookViewId="0">
      <selection activeCell="B33" sqref="B33"/>
    </sheetView>
  </sheetViews>
  <sheetFormatPr defaultColWidth="8.88671875" defaultRowHeight="14.4" x14ac:dyDescent="0.3"/>
  <cols>
    <col min="1" max="1" width="8.44140625" style="77" bestFit="1" customWidth="1"/>
    <col min="2" max="2" width="41.88671875" style="77" bestFit="1" customWidth="1"/>
    <col min="3" max="3" width="10.6640625" style="77" bestFit="1" customWidth="1"/>
    <col min="4" max="4" width="18.88671875" style="77" bestFit="1" customWidth="1"/>
    <col min="5" max="5" width="15" style="77" bestFit="1" customWidth="1"/>
    <col min="6" max="6" width="18.88671875" style="77" bestFit="1" customWidth="1"/>
    <col min="7" max="7" width="10.6640625" style="77" bestFit="1" customWidth="1"/>
    <col min="8" max="8" width="18.88671875" style="77" bestFit="1" customWidth="1"/>
    <col min="9" max="9" width="21" style="77" bestFit="1" customWidth="1"/>
    <col min="10" max="10" width="21" style="77" customWidth="1"/>
    <col min="11" max="11" width="11.109375" style="77" bestFit="1" customWidth="1"/>
    <col min="12" max="12" width="19.33203125" style="77" bestFit="1" customWidth="1"/>
    <col min="13" max="13" width="11.109375" style="77" bestFit="1" customWidth="1"/>
    <col min="14" max="14" width="19.33203125" style="77" bestFit="1" customWidth="1"/>
    <col min="15" max="15" width="12.33203125" style="77" customWidth="1"/>
    <col min="16" max="16" width="8.88671875" style="77"/>
    <col min="17" max="17" width="17.88671875" style="77" bestFit="1" customWidth="1"/>
    <col min="18" max="20" width="8.88671875" style="77"/>
    <col min="21" max="21" width="7.33203125" style="77" customWidth="1"/>
    <col min="22" max="22" width="17.88671875" style="77" bestFit="1" customWidth="1"/>
    <col min="23" max="16384" width="8.88671875" style="77"/>
  </cols>
  <sheetData>
    <row r="1" spans="1:25" ht="16.2" thickBot="1" x14ac:dyDescent="0.35">
      <c r="B1" s="81" t="s">
        <v>0</v>
      </c>
      <c r="C1" s="82" t="s">
        <v>1</v>
      </c>
      <c r="D1" s="82" t="s">
        <v>2</v>
      </c>
      <c r="E1" s="98" t="s">
        <v>3</v>
      </c>
      <c r="F1" s="82" t="s">
        <v>4</v>
      </c>
      <c r="G1" s="82" t="s">
        <v>5</v>
      </c>
      <c r="H1" s="98" t="s">
        <v>6</v>
      </c>
      <c r="I1" s="82"/>
      <c r="J1" s="82"/>
      <c r="K1" s="82"/>
      <c r="L1" s="4" t="s">
        <v>7</v>
      </c>
      <c r="M1" s="5"/>
    </row>
    <row r="2" spans="1:25" x14ac:dyDescent="0.3">
      <c r="B2" s="83" t="s">
        <v>8</v>
      </c>
      <c r="C2" s="84">
        <v>2.5</v>
      </c>
      <c r="D2" s="84">
        <v>2</v>
      </c>
      <c r="E2" s="99">
        <v>1.8</v>
      </c>
      <c r="F2" s="84">
        <v>2.5</v>
      </c>
      <c r="G2" s="84">
        <v>2.25</v>
      </c>
      <c r="H2" s="99">
        <v>2</v>
      </c>
      <c r="I2" s="85" t="s">
        <v>9</v>
      </c>
      <c r="J2" s="85"/>
      <c r="K2" s="80"/>
      <c r="L2" s="85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1:25" x14ac:dyDescent="0.3">
      <c r="B3" s="83" t="s">
        <v>11</v>
      </c>
      <c r="C3" s="86">
        <v>7.4</v>
      </c>
      <c r="D3" s="86">
        <v>7.4</v>
      </c>
      <c r="E3" s="100">
        <v>7.4</v>
      </c>
      <c r="F3" s="86">
        <v>7.4</v>
      </c>
      <c r="G3" s="86">
        <v>7.4</v>
      </c>
      <c r="H3" s="100">
        <v>7.4</v>
      </c>
      <c r="I3" s="85" t="s">
        <v>12</v>
      </c>
      <c r="J3" s="85" t="s">
        <v>39</v>
      </c>
      <c r="K3" s="80" t="s">
        <v>97</v>
      </c>
      <c r="L3" s="85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1:25" x14ac:dyDescent="0.3">
      <c r="B4" s="83" t="s">
        <v>13</v>
      </c>
      <c r="C4" s="86">
        <v>2.79</v>
      </c>
      <c r="D4" s="86">
        <v>2.79</v>
      </c>
      <c r="E4" s="100">
        <v>2.79</v>
      </c>
      <c r="F4" s="86">
        <v>2.2200000000000002</v>
      </c>
      <c r="G4" s="86">
        <v>2.2200000000000002</v>
      </c>
      <c r="H4" s="100">
        <v>2.2200000000000002</v>
      </c>
      <c r="I4" s="85" t="s">
        <v>14</v>
      </c>
      <c r="J4" s="85">
        <f>4521/4521</f>
        <v>1</v>
      </c>
      <c r="K4" s="80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1:25" x14ac:dyDescent="0.3">
      <c r="B5" s="83" t="s">
        <v>16</v>
      </c>
      <c r="C5" s="86">
        <v>0.9</v>
      </c>
      <c r="D5" s="86">
        <v>0.9</v>
      </c>
      <c r="E5" s="100">
        <v>0.9</v>
      </c>
      <c r="F5" s="86">
        <v>0.9</v>
      </c>
      <c r="G5" s="86">
        <v>0.9</v>
      </c>
      <c r="H5" s="100">
        <v>0.9</v>
      </c>
      <c r="I5" s="85" t="s">
        <v>17</v>
      </c>
      <c r="J5" s="85"/>
      <c r="K5" s="80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0"/>
      <c r="Y5" s="161"/>
    </row>
    <row r="6" spans="1:25" x14ac:dyDescent="0.3">
      <c r="B6" s="83" t="s">
        <v>19</v>
      </c>
      <c r="C6" s="86">
        <v>365</v>
      </c>
      <c r="D6" s="86">
        <v>365</v>
      </c>
      <c r="E6" s="100">
        <v>365</v>
      </c>
      <c r="F6" s="86">
        <v>365</v>
      </c>
      <c r="G6" s="86">
        <v>365</v>
      </c>
      <c r="H6" s="100">
        <v>365</v>
      </c>
      <c r="I6" s="85" t="s">
        <v>19</v>
      </c>
      <c r="J6" s="85"/>
      <c r="K6" s="80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0"/>
      <c r="Y6" s="161"/>
    </row>
    <row r="7" spans="1:25" x14ac:dyDescent="0.3">
      <c r="B7" s="83" t="s">
        <v>21</v>
      </c>
      <c r="C7" s="84">
        <v>2.0099999999999998</v>
      </c>
      <c r="D7" s="84">
        <v>2.0099999999999998</v>
      </c>
      <c r="E7" s="99">
        <v>2.0099999999999998</v>
      </c>
      <c r="F7" s="84">
        <v>1.5</v>
      </c>
      <c r="G7" s="84">
        <v>1.5</v>
      </c>
      <c r="H7" s="99">
        <v>1.5</v>
      </c>
      <c r="I7" s="85" t="s">
        <v>22</v>
      </c>
      <c r="J7" s="85"/>
      <c r="K7" s="80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0"/>
      <c r="Y7" s="161"/>
    </row>
    <row r="8" spans="1:25" x14ac:dyDescent="0.3">
      <c r="B8" s="87" t="s">
        <v>23</v>
      </c>
      <c r="C8" s="88">
        <v>8435.5858208955233</v>
      </c>
      <c r="D8" s="88">
        <f>+D2*D3*D4*D5*D6/D7</f>
        <v>6748.4686567164199</v>
      </c>
      <c r="E8" s="101">
        <f>E9*365/E7</f>
        <v>4069.4776119402986</v>
      </c>
      <c r="F8" s="88">
        <v>8994.33</v>
      </c>
      <c r="G8" s="88">
        <v>8094.8970000000018</v>
      </c>
      <c r="H8" s="101">
        <f>H9*365/H7</f>
        <v>4543.0333333333338</v>
      </c>
      <c r="I8" s="85" t="s">
        <v>24</v>
      </c>
      <c r="J8" s="85"/>
      <c r="K8" s="80"/>
      <c r="L8" s="85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0"/>
      <c r="Y8" s="161"/>
    </row>
    <row r="9" spans="1:25" x14ac:dyDescent="0.3">
      <c r="B9" s="89" t="s">
        <v>25</v>
      </c>
      <c r="C9" s="90">
        <f>+C8/365*C7</f>
        <v>46.453499999999998</v>
      </c>
      <c r="D9" s="90">
        <f>+D8/365*D7</f>
        <v>37.162800000000004</v>
      </c>
      <c r="E9" s="126">
        <v>22.41</v>
      </c>
      <c r="F9" s="90">
        <v>36.963000000000001</v>
      </c>
      <c r="G9" s="90">
        <v>33.266700000000007</v>
      </c>
      <c r="H9" s="126">
        <v>18.670000000000002</v>
      </c>
      <c r="I9" s="91" t="s">
        <v>26</v>
      </c>
      <c r="J9" s="91"/>
      <c r="K9" s="91"/>
      <c r="L9" s="85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0"/>
      <c r="Y9" s="161"/>
    </row>
    <row r="10" spans="1:25" x14ac:dyDescent="0.3">
      <c r="B10" s="89" t="s">
        <v>27</v>
      </c>
      <c r="C10" s="90">
        <f>0.63*C9</f>
        <v>29.265705000000001</v>
      </c>
      <c r="D10" s="90">
        <f>0.63*D9</f>
        <v>23.412564000000003</v>
      </c>
      <c r="E10" s="90">
        <v>17.6463</v>
      </c>
      <c r="F10" s="90">
        <v>23.28669</v>
      </c>
      <c r="G10" s="90">
        <v>20.958021000000006</v>
      </c>
      <c r="H10" s="90">
        <v>14.7042</v>
      </c>
      <c r="I10" s="80"/>
      <c r="J10" s="80"/>
      <c r="K10" s="80"/>
      <c r="L10" s="85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0"/>
      <c r="Y10" s="161"/>
    </row>
    <row r="11" spans="1:25" x14ac:dyDescent="0.3">
      <c r="C11" s="204" t="s">
        <v>39</v>
      </c>
      <c r="D11" s="205"/>
      <c r="E11" s="205"/>
      <c r="F11" s="205"/>
      <c r="G11" s="205"/>
      <c r="H11" s="206"/>
      <c r="I11" s="204" t="s">
        <v>97</v>
      </c>
      <c r="J11" s="205"/>
      <c r="K11" s="205"/>
      <c r="L11" s="205"/>
      <c r="M11" s="205"/>
      <c r="N11" s="206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0"/>
      <c r="Y11" s="161"/>
    </row>
    <row r="12" spans="1:25" ht="15.6" x14ac:dyDescent="0.3">
      <c r="A12" s="77" t="s">
        <v>35</v>
      </c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0"/>
      <c r="Y12" s="161"/>
    </row>
    <row r="13" spans="1:25" x14ac:dyDescent="0.3">
      <c r="A13" s="77" t="s">
        <v>36</v>
      </c>
      <c r="B13" s="83" t="s">
        <v>29</v>
      </c>
      <c r="C13" s="86">
        <v>1.5</v>
      </c>
      <c r="D13" s="27">
        <v>1.5</v>
      </c>
      <c r="E13" s="86">
        <v>1.6</v>
      </c>
      <c r="F13" s="100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0"/>
      <c r="Y13" s="161"/>
    </row>
    <row r="14" spans="1:25" x14ac:dyDescent="0.3">
      <c r="B14" s="83" t="s">
        <v>11</v>
      </c>
      <c r="C14" s="86">
        <v>7.4</v>
      </c>
      <c r="D14" s="27">
        <v>7.4</v>
      </c>
      <c r="E14" s="86">
        <v>7.4</v>
      </c>
      <c r="F14" s="100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0"/>
      <c r="Y14" s="161"/>
    </row>
    <row r="15" spans="1:25" x14ac:dyDescent="0.3">
      <c r="B15" s="83" t="s">
        <v>13</v>
      </c>
      <c r="C15" s="86">
        <v>2.79</v>
      </c>
      <c r="D15" s="27">
        <v>2.79</v>
      </c>
      <c r="E15" s="86">
        <v>2.79</v>
      </c>
      <c r="F15" s="100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0"/>
      <c r="Y15" s="161"/>
    </row>
    <row r="16" spans="1:25" x14ac:dyDescent="0.3">
      <c r="B16" s="83" t="s">
        <v>16</v>
      </c>
      <c r="C16" s="86">
        <v>0.9</v>
      </c>
      <c r="D16" s="27">
        <v>0.9</v>
      </c>
      <c r="E16" s="86">
        <v>0.9</v>
      </c>
      <c r="F16" s="100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100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99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0"/>
      <c r="Y18" s="161"/>
    </row>
    <row r="19" spans="1:25" ht="15" x14ac:dyDescent="0.25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66">
        <f>C20*E9/D9</f>
        <v>16.807500000000001</v>
      </c>
      <c r="E20" s="67">
        <f>E19/365*E18</f>
        <v>29.730240000000002</v>
      </c>
      <c r="F20" s="66">
        <f>E20*E9/D9</f>
        <v>17.928000000000001</v>
      </c>
      <c r="G20" s="67">
        <f>G19/365*G18</f>
        <v>31.588380000000001</v>
      </c>
      <c r="H20" s="68">
        <f>G20*E9/D9</f>
        <v>19.048499999999997</v>
      </c>
      <c r="I20" s="65">
        <f>I19/365*I18</f>
        <v>22.177800000000005</v>
      </c>
      <c r="J20" s="66">
        <f>I20*H9/G9</f>
        <v>12.446666666666667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14.10622222222222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5"/>
      <c r="Y20" s="166"/>
    </row>
    <row r="21" spans="1:25" x14ac:dyDescent="0.3">
      <c r="B21" s="89" t="s">
        <v>27</v>
      </c>
      <c r="I21" s="90"/>
      <c r="J21" s="90"/>
      <c r="K21" s="90"/>
      <c r="L21" s="90"/>
      <c r="M21" s="90"/>
    </row>
    <row r="22" spans="1:25" ht="15" thickBot="1" x14ac:dyDescent="0.35"/>
    <row r="23" spans="1:25" x14ac:dyDescent="0.3">
      <c r="C23" s="207" t="s">
        <v>114</v>
      </c>
      <c r="D23" s="208"/>
      <c r="E23" s="208"/>
      <c r="F23" s="211" t="s">
        <v>115</v>
      </c>
      <c r="G23" s="212"/>
      <c r="H23" s="213"/>
      <c r="I23" s="209" t="s">
        <v>114</v>
      </c>
      <c r="J23" s="209"/>
      <c r="K23" s="209" t="s">
        <v>115</v>
      </c>
      <c r="L23" s="210"/>
    </row>
    <row r="24" spans="1:25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5" ht="15" thickBot="1" x14ac:dyDescent="0.35">
      <c r="B25" s="108" t="s">
        <v>149</v>
      </c>
      <c r="C25" s="144">
        <f>E8-D19</f>
        <v>678.54892205638498</v>
      </c>
      <c r="D25" s="145">
        <f>E8-F19</f>
        <v>452.48700939745686</v>
      </c>
      <c r="E25" s="146">
        <f>E8-H19</f>
        <v>226.42509673852965</v>
      </c>
      <c r="F25" s="74">
        <f>H8-J19</f>
        <v>756.76666666666597</v>
      </c>
      <c r="G25" s="74">
        <f>H8-L19</f>
        <v>504.34888888888827</v>
      </c>
      <c r="H25" s="74">
        <f>H8-N19</f>
        <v>251.93111111111102</v>
      </c>
      <c r="I25" s="147">
        <f>+E8-N36</f>
        <v>1243.7037037037035</v>
      </c>
      <c r="J25" s="147">
        <f>+E8-N37</f>
        <v>1808.8584853510229</v>
      </c>
      <c r="K25" s="147">
        <f>+H8-O36</f>
        <v>1387.8111111111111</v>
      </c>
      <c r="L25" s="148">
        <f>+H8-O37</f>
        <v>2018.8555555555554</v>
      </c>
    </row>
    <row r="26" spans="1:25" ht="15.75" thickBot="1" x14ac:dyDescent="0.3">
      <c r="C26" s="88"/>
      <c r="D26" s="88"/>
      <c r="E26" s="88"/>
      <c r="F26" s="73"/>
      <c r="G26" s="73"/>
      <c r="H26" s="73"/>
    </row>
    <row r="27" spans="1:25" ht="15" customHeight="1" thickBot="1" x14ac:dyDescent="0.3">
      <c r="K27" s="201" t="s">
        <v>116</v>
      </c>
      <c r="L27" s="202"/>
      <c r="M27" s="202"/>
      <c r="N27" s="202"/>
      <c r="O27" s="203"/>
    </row>
    <row r="28" spans="1:25" ht="28.95" customHeight="1" x14ac:dyDescent="0.25">
      <c r="A28" s="113" t="s">
        <v>35</v>
      </c>
      <c r="B28" s="109" t="s">
        <v>55</v>
      </c>
      <c r="C28" s="110" t="s">
        <v>39</v>
      </c>
      <c r="D28" s="111"/>
      <c r="E28" s="111"/>
      <c r="F28" s="110" t="s">
        <v>97</v>
      </c>
      <c r="G28" s="111"/>
      <c r="H28" s="112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5" ht="14.4" customHeight="1" x14ac:dyDescent="0.3">
      <c r="B29" s="108" t="s">
        <v>113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5" ht="14.4" customHeight="1" x14ac:dyDescent="0.3">
      <c r="B30" s="77">
        <v>1</v>
      </c>
      <c r="C30" s="141">
        <f>(C$25*'2.5 GPM (Obsolete)'!$D$27*'2.5 GPM (Obsolete)'!$E$27*('2.5 GPM (Obsolete)'!$G$27-$Q5))/('2.5 GPM (Obsolete)'!$H$27*'2.5 GPM (Obsolete)'!$C$27*100000)</f>
        <v>4.0140922030543562</v>
      </c>
      <c r="D30" s="141">
        <f>(D$25*'2.5 GPM (Obsolete)'!$D$27*'2.5 GPM (Obsolete)'!$E$27*('2.5 GPM (Obsolete)'!$G$27-$Q5))/('2.5 GPM (Obsolete)'!$H$27*'2.5 GPM (Obsolete)'!$C$27*100000)</f>
        <v>2.6767776314509932</v>
      </c>
      <c r="E30" s="141">
        <f>(E$25*'2.5 GPM (Obsolete)'!$D$27*'2.5 GPM (Obsolete)'!$E$27*('2.5 GPM (Obsolete)'!$G$27-$Q5))/('2.5 GPM (Obsolete)'!$H$27*'2.5 GPM (Obsolete)'!$C$27*100000)</f>
        <v>1.3394630598476356</v>
      </c>
      <c r="F30" s="139">
        <f>(F$25*'2.5 GPM (Obsolete)'!$D$27*'2.5 GPM (Obsolete)'!$E$27*('2.5 GPM (Obsolete)'!$G$27-$V5))/('2.5 GPM (Obsolete)'!$H$27*'2.5 GPM (Obsolete)'!$C$27*100000)</f>
        <v>4.4768049716335341</v>
      </c>
      <c r="G30" s="139">
        <f>(G$25*'2.5 GPM (Obsolete)'!$D$27*'2.5 GPM (Obsolete)'!$E$27*('2.5 GPM (Obsolete)'!$G$27-$V5))/('2.5 GPM (Obsolete)'!$H$27*'2.5 GPM (Obsolete)'!$C$27*100000)</f>
        <v>2.9835769896695932</v>
      </c>
      <c r="H30" s="139">
        <f>(H$25*'2.5 GPM (Obsolete)'!$D$27*'2.5 GPM (Obsolete)'!$E$27*('2.5 GPM (Obsolete)'!$G$27-$V5))/('2.5 GPM (Obsolete)'!$H$27*'2.5 GPM (Obsolete)'!$C$27*100000)</f>
        <v>1.4903490077056554</v>
      </c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5" x14ac:dyDescent="0.3">
      <c r="B31" s="77">
        <v>2</v>
      </c>
      <c r="C31" s="141">
        <f>(C$25*'2.5 GPM (Obsolete)'!$D$27*'2.5 GPM (Obsolete)'!$E$27*('2.5 GPM (Obsolete)'!$G$27-$Q6))/('2.5 GPM (Obsolete)'!$H$27*'2.5 GPM (Obsolete)'!$C$27*100000)</f>
        <v>3.5834613347875788</v>
      </c>
      <c r="D31" s="141">
        <f>(D$25*'2.5 GPM (Obsolete)'!$D$27*'2.5 GPM (Obsolete)'!$E$27*('2.5 GPM (Obsolete)'!$G$27-$Q6))/('2.5 GPM (Obsolete)'!$H$27*'2.5 GPM (Obsolete)'!$C$27*100000)</f>
        <v>2.3896135561684853</v>
      </c>
      <c r="E31" s="141">
        <f>(E$25*'2.5 GPM (Obsolete)'!$D$27*'2.5 GPM (Obsolete)'!$E$27*('2.5 GPM (Obsolete)'!$G$27-$Q6))/('2.5 GPM (Obsolete)'!$H$27*'2.5 GPM (Obsolete)'!$C$27*100000)</f>
        <v>1.1957657775493966</v>
      </c>
      <c r="F31" s="139">
        <f>(F$25*'2.5 GPM (Obsolete)'!$D$27*'2.5 GPM (Obsolete)'!$E$27*('2.5 GPM (Obsolete)'!$G$27-$V6))/('2.5 GPM (Obsolete)'!$H$27*'2.5 GPM (Obsolete)'!$C$27*100000)</f>
        <v>3.9955217287913896</v>
      </c>
      <c r="G31" s="139">
        <f>(G$25*'2.5 GPM (Obsolete)'!$D$27*'2.5 GPM (Obsolete)'!$E$27*('2.5 GPM (Obsolete)'!$G$27-$V6))/('2.5 GPM (Obsolete)'!$H$27*'2.5 GPM (Obsolete)'!$C$27*100000)</f>
        <v>2.662824663411024</v>
      </c>
      <c r="H31" s="139">
        <f>(H$25*'2.5 GPM (Obsolete)'!$D$27*'2.5 GPM (Obsolete)'!$E$27*('2.5 GPM (Obsolete)'!$G$27-$V6))/('2.5 GPM (Obsolete)'!$H$27*'2.5 GPM (Obsolete)'!$C$27*100000)</f>
        <v>1.3301275980306604</v>
      </c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5" x14ac:dyDescent="0.3">
      <c r="B32" s="77">
        <v>3</v>
      </c>
      <c r="C32" s="141">
        <f>(C$25*'2.5 GPM (Obsolete)'!$D$27*'2.5 GPM (Obsolete)'!$E$27*('2.5 GPM (Obsolete)'!$G$27-$Q7))/('2.5 GPM (Obsolete)'!$H$27*'2.5 GPM (Obsolete)'!$C$27*100000)</f>
        <v>3.5987711672413325</v>
      </c>
      <c r="D32" s="141">
        <f>(D$25*'2.5 GPM (Obsolete)'!$D$27*'2.5 GPM (Obsolete)'!$E$27*('2.5 GPM (Obsolete)'!$G$27-$Q7))/('2.5 GPM (Obsolete)'!$H$27*'2.5 GPM (Obsolete)'!$C$27*100000)</f>
        <v>2.3998228425975037</v>
      </c>
      <c r="E32" s="141">
        <f>(E$25*'2.5 GPM (Obsolete)'!$D$27*'2.5 GPM (Obsolete)'!$E$27*('2.5 GPM (Obsolete)'!$G$27-$Q7))/('2.5 GPM (Obsolete)'!$H$27*'2.5 GPM (Obsolete)'!$C$27*100000)</f>
        <v>1.2008745179536795</v>
      </c>
      <c r="F32" s="139">
        <f>(F$25*'2.5 GPM (Obsolete)'!$D$27*'2.5 GPM (Obsolete)'!$E$27*('2.5 GPM (Obsolete)'!$G$27-$V7))/('2.5 GPM (Obsolete)'!$H$27*'2.5 GPM (Obsolete)'!$C$27*100000)</f>
        <v>4.0130183454935722</v>
      </c>
      <c r="G32" s="139">
        <f>(G$25*'2.5 GPM (Obsolete)'!$D$27*'2.5 GPM (Obsolete)'!$E$27*('2.5 GPM (Obsolete)'!$G$27-$V7))/('2.5 GPM (Obsolete)'!$H$27*'2.5 GPM (Obsolete)'!$C$27*100000)</f>
        <v>2.6744853239312993</v>
      </c>
      <c r="H32" s="139">
        <f>(H$25*'2.5 GPM (Obsolete)'!$D$27*'2.5 GPM (Obsolete)'!$E$27*('2.5 GPM (Obsolete)'!$G$27-$V7))/('2.5 GPM (Obsolete)'!$H$27*'2.5 GPM (Obsolete)'!$C$27*100000)</f>
        <v>1.3359523023690292</v>
      </c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x14ac:dyDescent="0.3">
      <c r="B33" s="77">
        <v>4</v>
      </c>
      <c r="C33" s="141">
        <f>(C$25*'2.5 GPM (Obsolete)'!$D$27*'2.5 GPM (Obsolete)'!$E$27*('2.5 GPM (Obsolete)'!$G$27-$Q8))/('2.5 GPM (Obsolete)'!$H$27*'2.5 GPM (Obsolete)'!$C$27*100000)</f>
        <v>3.4215380109712767</v>
      </c>
      <c r="D33" s="141">
        <f>(D$25*'2.5 GPM (Obsolete)'!$D$27*'2.5 GPM (Obsolete)'!$E$27*('2.5 GPM (Obsolete)'!$G$27-$Q8))/('2.5 GPM (Obsolete)'!$H$27*'2.5 GPM (Obsolete)'!$C$27*100000)</f>
        <v>2.2816357845388571</v>
      </c>
      <c r="E33" s="141">
        <f>(E$25*'2.5 GPM (Obsolete)'!$D$27*'2.5 GPM (Obsolete)'!$E$27*('2.5 GPM (Obsolete)'!$G$27-$Q8))/('2.5 GPM (Obsolete)'!$H$27*'2.5 GPM (Obsolete)'!$C$27*100000)</f>
        <v>1.1417335581064427</v>
      </c>
      <c r="F33" s="139">
        <f>(F$25*'2.5 GPM (Obsolete)'!$D$27*'2.5 GPM (Obsolete)'!$E$27*('2.5 GPM (Obsolete)'!$G$27-$V8))/('2.5 GPM (Obsolete)'!$H$27*'2.5 GPM (Obsolete)'!$C$27*100000)</f>
        <v>3.8147744655958498</v>
      </c>
      <c r="G33" s="139">
        <f>(G$25*'2.5 GPM (Obsolete)'!$D$27*'2.5 GPM (Obsolete)'!$E$27*('2.5 GPM (Obsolete)'!$G$27-$V8))/('2.5 GPM (Obsolete)'!$H$27*'2.5 GPM (Obsolete)'!$C$27*100000)</f>
        <v>2.5423652333413709</v>
      </c>
      <c r="H33" s="139">
        <f>(H$25*'2.5 GPM (Obsolete)'!$D$27*'2.5 GPM (Obsolete)'!$E$27*('2.5 GPM (Obsolete)'!$G$27-$V8))/('2.5 GPM (Obsolete)'!$H$27*'2.5 GPM (Obsolete)'!$C$27*100000)</f>
        <v>1.2699560010868935</v>
      </c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x14ac:dyDescent="0.3">
      <c r="B34" s="77">
        <v>5</v>
      </c>
      <c r="C34" s="141">
        <f>(C$25*'2.5 GPM (Obsolete)'!$D$27*'2.5 GPM (Obsolete)'!$E$27*('2.5 GPM (Obsolete)'!$G$27-$Q9))/('2.5 GPM (Obsolete)'!$H$27*'2.5 GPM (Obsolete)'!$C$27*100000)</f>
        <v>3.6875818354956116</v>
      </c>
      <c r="D34" s="141">
        <f>(D$25*'2.5 GPM (Obsolete)'!$D$27*'2.5 GPM (Obsolete)'!$E$27*('2.5 GPM (Obsolete)'!$G$27-$Q9))/('2.5 GPM (Obsolete)'!$H$27*'2.5 GPM (Obsolete)'!$C$27*100000)</f>
        <v>2.4590457996676927</v>
      </c>
      <c r="E34" s="141">
        <f>(E$25*'2.5 GPM (Obsolete)'!$D$27*'2.5 GPM (Obsolete)'!$E$27*('2.5 GPM (Obsolete)'!$G$27-$Q9))/('2.5 GPM (Obsolete)'!$H$27*'2.5 GPM (Obsolete)'!$C$27*100000)</f>
        <v>1.2305097638397786</v>
      </c>
      <c r="F34" s="139">
        <f>(F$25*'2.5 GPM (Obsolete)'!$D$27*'2.5 GPM (Obsolete)'!$E$27*('2.5 GPM (Obsolete)'!$G$27-$V9))/('2.5 GPM (Obsolete)'!$H$27*'2.5 GPM (Obsolete)'!$C$27*100000)</f>
        <v>4.1125003388047068</v>
      </c>
      <c r="G34" s="139">
        <f>(G$25*'2.5 GPM (Obsolete)'!$D$27*'2.5 GPM (Obsolete)'!$E$27*('2.5 GPM (Obsolete)'!$G$27-$V9))/('2.5 GPM (Obsolete)'!$H$27*'2.5 GPM (Obsolete)'!$C$27*100000)</f>
        <v>2.740785327619256</v>
      </c>
      <c r="H34" s="139">
        <f>(H$25*'2.5 GPM (Obsolete)'!$D$27*'2.5 GPM (Obsolete)'!$E$27*('2.5 GPM (Obsolete)'!$G$27-$V9))/('2.5 GPM (Obsolete)'!$H$27*'2.5 GPM (Obsolete)'!$C$27*100000)</f>
        <v>1.3690703164338078</v>
      </c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x14ac:dyDescent="0.3">
      <c r="B35" s="77">
        <v>6</v>
      </c>
      <c r="C35" s="141">
        <f>(C$25*'2.5 GPM (Obsolete)'!$D$27*'2.5 GPM (Obsolete)'!$E$27*('2.5 GPM (Obsolete)'!$G$27-$Q10))/('2.5 GPM (Obsolete)'!$H$27*'2.5 GPM (Obsolete)'!$C$27*100000)</f>
        <v>3.2543307687587135</v>
      </c>
      <c r="D35" s="141">
        <f>(D$25*'2.5 GPM (Obsolete)'!$D$27*'2.5 GPM (Obsolete)'!$E$27*('2.5 GPM (Obsolete)'!$G$27-$Q10))/('2.5 GPM (Obsolete)'!$H$27*'2.5 GPM (Obsolete)'!$C$27*100000)</f>
        <v>2.1701344579299091</v>
      </c>
      <c r="E35" s="141">
        <f>(E$25*'2.5 GPM (Obsolete)'!$D$27*'2.5 GPM (Obsolete)'!$E$27*('2.5 GPM (Obsolete)'!$G$27-$Q10))/('2.5 GPM (Obsolete)'!$H$27*'2.5 GPM (Obsolete)'!$C$27*100000)</f>
        <v>1.0859381471011087</v>
      </c>
      <c r="F35" s="139">
        <f>(F$25*'2.5 GPM (Obsolete)'!$D$27*'2.5 GPM (Obsolete)'!$E$27*('2.5 GPM (Obsolete)'!$G$27-$V10))/('2.5 GPM (Obsolete)'!$H$27*'2.5 GPM (Obsolete)'!$C$27*100000)</f>
        <v>3.6315862223135227</v>
      </c>
      <c r="G35" s="139">
        <f>(G$25*'2.5 GPM (Obsolete)'!$D$27*'2.5 GPM (Obsolete)'!$E$27*('2.5 GPM (Obsolete)'!$G$27-$V10))/('2.5 GPM (Obsolete)'!$H$27*'2.5 GPM (Obsolete)'!$C$27*100000)</f>
        <v>2.4202790064678967</v>
      </c>
      <c r="H35" s="139">
        <f>(H$25*'2.5 GPM (Obsolete)'!$D$27*'2.5 GPM (Obsolete)'!$E$27*('2.5 GPM (Obsolete)'!$G$27-$V10))/('2.5 GPM (Obsolete)'!$H$27*'2.5 GPM (Obsolete)'!$C$27*100000)</f>
        <v>1.208971790622273</v>
      </c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x14ac:dyDescent="0.3">
      <c r="B36" s="77">
        <v>7</v>
      </c>
      <c r="C36" s="141">
        <f>(C$25*'2.5 GPM (Obsolete)'!$D$27*'2.5 GPM (Obsolete)'!$E$27*('2.5 GPM (Obsolete)'!$G$27-$Q11))/('2.5 GPM (Obsolete)'!$H$27*'2.5 GPM (Obsolete)'!$C$27*100000)</f>
        <v>3.1947478843733577</v>
      </c>
      <c r="D36" s="141">
        <f>(D$25*'2.5 GPM (Obsolete)'!$D$27*'2.5 GPM (Obsolete)'!$E$27*('2.5 GPM (Obsolete)'!$G$27-$Q11))/('2.5 GPM (Obsolete)'!$H$27*'2.5 GPM (Obsolete)'!$C$27*100000)</f>
        <v>2.1304019046969027</v>
      </c>
      <c r="E36" s="141">
        <f>(E$25*'2.5 GPM (Obsolete)'!$D$27*'2.5 GPM (Obsolete)'!$E$27*('2.5 GPM (Obsolete)'!$G$27-$Q11))/('2.5 GPM (Obsolete)'!$H$27*'2.5 GPM (Obsolete)'!$C$27*100000)</f>
        <v>1.0660559250204527</v>
      </c>
      <c r="F36" s="139">
        <f>(F$25*'2.5 GPM (Obsolete)'!$D$27*'2.5 GPM (Obsolete)'!$E$27*('2.5 GPM (Obsolete)'!$G$27-$V11))/('2.5 GPM (Obsolete)'!$H$27*'2.5 GPM (Obsolete)'!$C$27*100000)</f>
        <v>3.5644922883165235</v>
      </c>
      <c r="G36" s="139">
        <f>(G$25*'2.5 GPM (Obsolete)'!$D$27*'2.5 GPM (Obsolete)'!$E$27*('2.5 GPM (Obsolete)'!$G$27-$V11))/('2.5 GPM (Obsolete)'!$H$27*'2.5 GPM (Obsolete)'!$C$27*100000)</f>
        <v>2.3755640995447092</v>
      </c>
      <c r="H36" s="139">
        <f>(H$25*'2.5 GPM (Obsolete)'!$D$27*'2.5 GPM (Obsolete)'!$E$27*('2.5 GPM (Obsolete)'!$G$27-$V11))/('2.5 GPM (Obsolete)'!$H$27*'2.5 GPM (Obsolete)'!$C$27*100000)</f>
        <v>1.186635910772897</v>
      </c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ht="15" thickBot="1" x14ac:dyDescent="0.35">
      <c r="B37" s="77">
        <v>8</v>
      </c>
      <c r="C37" s="141">
        <f>(C$25*'2.5 GPM (Obsolete)'!$D$27*'2.5 GPM (Obsolete)'!$E$27*('2.5 GPM (Obsolete)'!$G$27-$Q12))/('2.5 GPM (Obsolete)'!$H$27*'2.5 GPM (Obsolete)'!$C$27*100000)</f>
        <v>3.1093494551234482</v>
      </c>
      <c r="D37" s="141">
        <f>(D$25*'2.5 GPM (Obsolete)'!$D$27*'2.5 GPM (Obsolete)'!$E$27*('2.5 GPM (Obsolete)'!$G$27-$Q12))/('2.5 GPM (Obsolete)'!$H$27*'2.5 GPM (Obsolete)'!$C$27*100000)</f>
        <v>2.0734543824144627</v>
      </c>
      <c r="E37" s="141">
        <f>(E$25*'2.5 GPM (Obsolete)'!$D$27*'2.5 GPM (Obsolete)'!$E$27*('2.5 GPM (Obsolete)'!$G$27-$Q12))/('2.5 GPM (Obsolete)'!$H$27*'2.5 GPM (Obsolete)'!$C$27*100000)</f>
        <v>1.0375593097054812</v>
      </c>
      <c r="F37" s="139">
        <f>(F$25*'2.5 GPM (Obsolete)'!$D$27*'2.5 GPM (Obsolete)'!$E$27*('2.5 GPM (Obsolete)'!$G$27-$V12))/('2.5 GPM (Obsolete)'!$H$27*'2.5 GPM (Obsolete)'!$C$27*100000)</f>
        <v>3.4704502165250313</v>
      </c>
      <c r="G37" s="139">
        <f>(G$25*'2.5 GPM (Obsolete)'!$D$27*'2.5 GPM (Obsolete)'!$E$27*('2.5 GPM (Obsolete)'!$G$27-$V12))/('2.5 GPM (Obsolete)'!$H$27*'2.5 GPM (Obsolete)'!$C$27*100000)</f>
        <v>2.3128895440892427</v>
      </c>
      <c r="H37" s="139">
        <f>(H$25*'2.5 GPM (Obsolete)'!$D$27*'2.5 GPM (Obsolete)'!$E$27*('2.5 GPM (Obsolete)'!$G$27-$V12))/('2.5 GPM (Obsolete)'!$H$27*'2.5 GPM (Obsolete)'!$C$27*100000)</f>
        <v>1.1553288716534569</v>
      </c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x14ac:dyDescent="0.3">
      <c r="B38" s="77">
        <v>9</v>
      </c>
      <c r="C38" s="141">
        <f>(C$25*'2.5 GPM (Obsolete)'!$D$27*'2.5 GPM (Obsolete)'!$E$27*('2.5 GPM (Obsolete)'!$G$27-$Q13))/('2.5 GPM (Obsolete)'!$H$27*'2.5 GPM (Obsolete)'!$C$27*100000)</f>
        <v>3.1054365268345507</v>
      </c>
      <c r="D38" s="141">
        <f>(D$25*'2.5 GPM (Obsolete)'!$D$27*'2.5 GPM (Obsolete)'!$E$27*('2.5 GPM (Obsolete)'!$G$27-$Q13))/('2.5 GPM (Obsolete)'!$H$27*'2.5 GPM (Obsolete)'!$C$27*100000)</f>
        <v>2.0708450654413189</v>
      </c>
      <c r="E38" s="141">
        <f>(E$25*'2.5 GPM (Obsolete)'!$D$27*'2.5 GPM (Obsolete)'!$E$27*('2.5 GPM (Obsolete)'!$G$27-$Q13))/('2.5 GPM (Obsolete)'!$H$27*'2.5 GPM (Obsolete)'!$C$27*100000)</f>
        <v>1.0362536040480916</v>
      </c>
      <c r="F38" s="139">
        <f>(F$25*'2.5 GPM (Obsolete)'!$D$27*'2.5 GPM (Obsolete)'!$E$27*('2.5 GPM (Obsolete)'!$G$27-$V13))/('2.5 GPM (Obsolete)'!$H$27*'2.5 GPM (Obsolete)'!$C$27*100000)</f>
        <v>3.4672901840957846</v>
      </c>
      <c r="G38" s="139">
        <f>(G$25*'2.5 GPM (Obsolete)'!$D$27*'2.5 GPM (Obsolete)'!$E$27*('2.5 GPM (Obsolete)'!$G$27-$V13))/('2.5 GPM (Obsolete)'!$H$27*'2.5 GPM (Obsolete)'!$C$27*100000)</f>
        <v>2.3107835331948108</v>
      </c>
      <c r="H38" s="139">
        <f>(H$25*'2.5 GPM (Obsolete)'!$D$27*'2.5 GPM (Obsolete)'!$E$27*('2.5 GPM (Obsolete)'!$G$27-$V13))/('2.5 GPM (Obsolete)'!$H$27*'2.5 GPM (Obsolete)'!$C$27*100000)</f>
        <v>1.1542768822938385</v>
      </c>
      <c r="J38" s="26"/>
      <c r="K38" s="26"/>
      <c r="L38" s="26"/>
      <c r="M38" s="26"/>
      <c r="N38" s="26"/>
      <c r="O38" s="26"/>
    </row>
    <row r="39" spans="2:15" x14ac:dyDescent="0.3">
      <c r="B39" s="77">
        <v>10</v>
      </c>
      <c r="C39" s="141">
        <f>(C$25*'2.5 GPM (Obsolete)'!$D$27*'2.5 GPM (Obsolete)'!$E$27*('2.5 GPM (Obsolete)'!$G$27-$Q14))/('2.5 GPM (Obsolete)'!$H$27*'2.5 GPM (Obsolete)'!$C$27*100000)</f>
        <v>3.0836916564311014</v>
      </c>
      <c r="D39" s="141">
        <f>(D$25*'2.5 GPM (Obsolete)'!$D$27*'2.5 GPM (Obsolete)'!$E$27*('2.5 GPM (Obsolete)'!$G$27-$Q14))/('2.5 GPM (Obsolete)'!$H$27*'2.5 GPM (Obsolete)'!$C$27*100000)</f>
        <v>2.0563446056236634</v>
      </c>
      <c r="E39" s="141">
        <f>(E$25*'2.5 GPM (Obsolete)'!$D$27*'2.5 GPM (Obsolete)'!$E$27*('2.5 GPM (Obsolete)'!$G$27-$Q14))/('2.5 GPM (Obsolete)'!$H$27*'2.5 GPM (Obsolete)'!$C$27*100000)</f>
        <v>1.0289975548162302</v>
      </c>
      <c r="F39" s="139">
        <f>(F$25*'2.5 GPM (Obsolete)'!$D$27*'2.5 GPM (Obsolete)'!$E$27*('2.5 GPM (Obsolete)'!$G$27-$V14))/('2.5 GPM (Obsolete)'!$H$27*'2.5 GPM (Obsolete)'!$C$27*100000)</f>
        <v>3.4445501364118072</v>
      </c>
      <c r="G39" s="139">
        <f>(G$25*'2.5 GPM (Obsolete)'!$D$27*'2.5 GPM (Obsolete)'!$E$27*('2.5 GPM (Obsolete)'!$G$27-$V14))/('2.5 GPM (Obsolete)'!$H$27*'2.5 GPM (Obsolete)'!$C$27*100000)</f>
        <v>2.2956283760137848</v>
      </c>
      <c r="H39" s="139">
        <f>(H$25*'2.5 GPM (Obsolete)'!$D$27*'2.5 GPM (Obsolete)'!$E$27*('2.5 GPM (Obsolete)'!$G$27-$V14))/('2.5 GPM (Obsolete)'!$H$27*'2.5 GPM (Obsolete)'!$C$27*100000)</f>
        <v>1.1467066156157641</v>
      </c>
      <c r="J39" s="26"/>
      <c r="K39" s="26"/>
      <c r="L39" s="26"/>
      <c r="M39" s="26"/>
      <c r="N39" s="26"/>
      <c r="O39" s="26"/>
    </row>
    <row r="40" spans="2:15" x14ac:dyDescent="0.3">
      <c r="B40" s="77">
        <v>11</v>
      </c>
      <c r="C40" s="141">
        <f>(C$25*'2.5 GPM (Obsolete)'!$D$27*'2.5 GPM (Obsolete)'!$E$27*('2.5 GPM (Obsolete)'!$G$27-$Q15))/('2.5 GPM (Obsolete)'!$H$27*'2.5 GPM (Obsolete)'!$C$27*100000)</f>
        <v>3.1717086265987797</v>
      </c>
      <c r="D40" s="141">
        <f>(D$25*'2.5 GPM (Obsolete)'!$D$27*'2.5 GPM (Obsolete)'!$E$27*('2.5 GPM (Obsolete)'!$G$27-$Q15))/('2.5 GPM (Obsolete)'!$H$27*'2.5 GPM (Obsolete)'!$C$27*100000)</f>
        <v>2.1150382890307515</v>
      </c>
      <c r="E40" s="141">
        <f>(E$25*'2.5 GPM (Obsolete)'!$D$27*'2.5 GPM (Obsolete)'!$E$27*('2.5 GPM (Obsolete)'!$G$27-$Q15))/('2.5 GPM (Obsolete)'!$H$27*'2.5 GPM (Obsolete)'!$C$27*100000)</f>
        <v>1.0583679514627269</v>
      </c>
      <c r="F40" s="139">
        <f>(F$25*'2.5 GPM (Obsolete)'!$D$27*'2.5 GPM (Obsolete)'!$E$27*('2.5 GPM (Obsolete)'!$G$27-$V15))/('2.5 GPM (Obsolete)'!$H$27*'2.5 GPM (Obsolete)'!$C$27*100000)</f>
        <v>3.5533638576577933</v>
      </c>
      <c r="G40" s="139">
        <f>(G$25*'2.5 GPM (Obsolete)'!$D$27*'2.5 GPM (Obsolete)'!$E$27*('2.5 GPM (Obsolete)'!$G$27-$V15))/('2.5 GPM (Obsolete)'!$H$27*'2.5 GPM (Obsolete)'!$C$27*100000)</f>
        <v>2.3681475312879048</v>
      </c>
      <c r="H40" s="139">
        <f>(H$25*'2.5 GPM (Obsolete)'!$D$27*'2.5 GPM (Obsolete)'!$E$27*('2.5 GPM (Obsolete)'!$G$27-$V15))/('2.5 GPM (Obsolete)'!$H$27*'2.5 GPM (Obsolete)'!$C$27*100000)</f>
        <v>1.1829312049180185</v>
      </c>
      <c r="J40" s="26"/>
      <c r="K40" s="26"/>
      <c r="L40" s="26"/>
      <c r="M40" s="26"/>
      <c r="N40" s="26"/>
      <c r="O40" s="26"/>
    </row>
    <row r="41" spans="2:15" x14ac:dyDescent="0.3">
      <c r="B41" s="77">
        <v>12</v>
      </c>
      <c r="C41" s="141">
        <f>(C$25*'2.5 GPM (Obsolete)'!$D$27*'2.5 GPM (Obsolete)'!$E$27*('2.5 GPM (Obsolete)'!$G$27-$Q16))/('2.5 GPM (Obsolete)'!$H$27*'2.5 GPM (Obsolete)'!$C$27*100000)</f>
        <v>3.3270615505733141</v>
      </c>
      <c r="D41" s="141">
        <f>(D$25*'2.5 GPM (Obsolete)'!$D$27*'2.5 GPM (Obsolete)'!$E$27*('2.5 GPM (Obsolete)'!$G$27-$Q16))/('2.5 GPM (Obsolete)'!$H$27*'2.5 GPM (Obsolete)'!$C$27*100000)</f>
        <v>2.2186346218601565</v>
      </c>
      <c r="E41" s="141">
        <f>(E$25*'2.5 GPM (Obsolete)'!$D$27*'2.5 GPM (Obsolete)'!$E$27*('2.5 GPM (Obsolete)'!$G$27-$Q16))/('2.5 GPM (Obsolete)'!$H$27*'2.5 GPM (Obsolete)'!$C$27*100000)</f>
        <v>1.1102076931470035</v>
      </c>
      <c r="F41" s="139">
        <f>(F$25*'2.5 GPM (Obsolete)'!$D$27*'2.5 GPM (Obsolete)'!$E$27*('2.5 GPM (Obsolete)'!$G$27-$V16))/('2.5 GPM (Obsolete)'!$H$27*'2.5 GPM (Obsolete)'!$C$27*100000)</f>
        <v>3.7178359384277648</v>
      </c>
      <c r="G41" s="139">
        <f>(G$25*'2.5 GPM (Obsolete)'!$D$27*'2.5 GPM (Obsolete)'!$E$27*('2.5 GPM (Obsolete)'!$G$27-$V16))/('2.5 GPM (Obsolete)'!$H$27*'2.5 GPM (Obsolete)'!$C$27*100000)</f>
        <v>2.4777603285255987</v>
      </c>
      <c r="H41" s="139">
        <f>(H$25*'2.5 GPM (Obsolete)'!$D$27*'2.5 GPM (Obsolete)'!$E$27*('2.5 GPM (Obsolete)'!$G$27-$V16))/('2.5 GPM (Obsolete)'!$H$27*'2.5 GPM (Obsolete)'!$C$27*100000)</f>
        <v>1.2376847186234348</v>
      </c>
      <c r="J41" s="26"/>
      <c r="K41" s="26"/>
      <c r="L41" s="26"/>
      <c r="M41" s="26"/>
      <c r="N41" s="26"/>
      <c r="O41" s="26"/>
    </row>
    <row r="42" spans="2:15" x14ac:dyDescent="0.3">
      <c r="B42" s="77">
        <v>13</v>
      </c>
      <c r="C42" s="141">
        <f>(C$25*'2.5 GPM (Obsolete)'!$D$27*'2.5 GPM (Obsolete)'!$E$27*('2.5 GPM (Obsolete)'!$G$27-$Q17))/('2.5 GPM (Obsolete)'!$H$27*'2.5 GPM (Obsolete)'!$C$27*100000)</f>
        <v>3.1043031595718173</v>
      </c>
      <c r="D42" s="141">
        <f>(D$25*'2.5 GPM (Obsolete)'!$D$27*'2.5 GPM (Obsolete)'!$E$27*('2.5 GPM (Obsolete)'!$G$27-$Q17))/('2.5 GPM (Obsolete)'!$H$27*'2.5 GPM (Obsolete)'!$C$27*100000)</f>
        <v>2.0700892850596939</v>
      </c>
      <c r="E42" s="141">
        <f>(E$25*'2.5 GPM (Obsolete)'!$D$27*'2.5 GPM (Obsolete)'!$E$27*('2.5 GPM (Obsolete)'!$G$27-$Q17))/('2.5 GPM (Obsolete)'!$H$27*'2.5 GPM (Obsolete)'!$C$27*100000)</f>
        <v>1.0358754105475747</v>
      </c>
      <c r="F42" s="139">
        <f>(F$25*'2.5 GPM (Obsolete)'!$D$27*'2.5 GPM (Obsolete)'!$E$27*('2.5 GPM (Obsolete)'!$G$27-$V17))/('2.5 GPM (Obsolete)'!$H$27*'2.5 GPM (Obsolete)'!$C$27*100000)</f>
        <v>3.4778365656314922</v>
      </c>
      <c r="G42" s="139">
        <f>(G$25*'2.5 GPM (Obsolete)'!$D$27*'2.5 GPM (Obsolete)'!$E$27*('2.5 GPM (Obsolete)'!$G$27-$V17))/('2.5 GPM (Obsolete)'!$H$27*'2.5 GPM (Obsolete)'!$C$27*100000)</f>
        <v>2.3178121934723057</v>
      </c>
      <c r="H42" s="139">
        <f>(H$25*'2.5 GPM (Obsolete)'!$D$27*'2.5 GPM (Obsolete)'!$E$27*('2.5 GPM (Obsolete)'!$G$27-$V17))/('2.5 GPM (Obsolete)'!$H$27*'2.5 GPM (Obsolete)'!$C$27*100000)</f>
        <v>1.1577878213131212</v>
      </c>
      <c r="J42" s="26"/>
      <c r="K42" s="26"/>
      <c r="L42" s="26"/>
      <c r="M42" s="26"/>
      <c r="N42" s="26"/>
      <c r="O42" s="26"/>
    </row>
    <row r="43" spans="2:15" x14ac:dyDescent="0.3">
      <c r="B43" s="77">
        <v>14</v>
      </c>
      <c r="C43" s="141">
        <f>(C$25*'2.5 GPM (Obsolete)'!$D$27*'2.5 GPM (Obsolete)'!$E$27*('2.5 GPM (Obsolete)'!$G$27-$Q18))/('2.5 GPM (Obsolete)'!$H$27*'2.5 GPM (Obsolete)'!$C$27*100000)</f>
        <v>3.210346656458777</v>
      </c>
      <c r="D43" s="141">
        <f>(D$25*'2.5 GPM (Obsolete)'!$D$27*'2.5 GPM (Obsolete)'!$E$27*('2.5 GPM (Obsolete)'!$G$27-$Q18))/('2.5 GPM (Obsolete)'!$H$27*'2.5 GPM (Obsolete)'!$C$27*100000)</f>
        <v>2.140803869097367</v>
      </c>
      <c r="E43" s="141">
        <f>(E$25*'2.5 GPM (Obsolete)'!$D$27*'2.5 GPM (Obsolete)'!$E$27*('2.5 GPM (Obsolete)'!$G$27-$Q18))/('2.5 GPM (Obsolete)'!$H$27*'2.5 GPM (Obsolete)'!$C$27*100000)</f>
        <v>1.0712610817359618</v>
      </c>
      <c r="F43" s="139">
        <f>(F$25*'2.5 GPM (Obsolete)'!$D$27*'2.5 GPM (Obsolete)'!$E$27*('2.5 GPM (Obsolete)'!$G$27-$V18))/('2.5 GPM (Obsolete)'!$H$27*'2.5 GPM (Obsolete)'!$C$27*100000)</f>
        <v>3.5964352567465858</v>
      </c>
      <c r="G43" s="139">
        <f>(G$25*'2.5 GPM (Obsolete)'!$D$27*'2.5 GPM (Obsolete)'!$E$27*('2.5 GPM (Obsolete)'!$G$27-$V18))/('2.5 GPM (Obsolete)'!$H$27*'2.5 GPM (Obsolete)'!$C$27*100000)</f>
        <v>2.3968525644641221</v>
      </c>
      <c r="H43" s="139">
        <f>(H$25*'2.5 GPM (Obsolete)'!$D$27*'2.5 GPM (Obsolete)'!$E$27*('2.5 GPM (Obsolete)'!$G$27-$V18))/('2.5 GPM (Obsolete)'!$H$27*'2.5 GPM (Obsolete)'!$C$27*100000)</f>
        <v>1.1972698721816615</v>
      </c>
      <c r="J43" s="26"/>
      <c r="K43" s="26"/>
      <c r="L43" s="26"/>
      <c r="M43" s="26"/>
      <c r="N43" s="26"/>
      <c r="O43" s="26"/>
    </row>
    <row r="44" spans="2:15" x14ac:dyDescent="0.3">
      <c r="B44" s="77">
        <v>15</v>
      </c>
      <c r="C44" s="141">
        <f>(C$25*'2.5 GPM (Obsolete)'!$D$27*'2.5 GPM (Obsolete)'!$E$27*('2.5 GPM (Obsolete)'!$G$27-$Q19))/('2.5 GPM (Obsolete)'!$H$27*'2.5 GPM (Obsolete)'!$C$27*100000)</f>
        <v>2.2843476466483472</v>
      </c>
      <c r="D44" s="141">
        <f>(D$25*'2.5 GPM (Obsolete)'!$D$27*'2.5 GPM (Obsolete)'!$E$27*('2.5 GPM (Obsolete)'!$G$27-$Q19))/('2.5 GPM (Obsolete)'!$H$27*'2.5 GPM (Obsolete)'!$C$27*100000)</f>
        <v>1.5233059864328211</v>
      </c>
      <c r="E44" s="141">
        <f>(E$25*'2.5 GPM (Obsolete)'!$D$27*'2.5 GPM (Obsolete)'!$E$27*('2.5 GPM (Obsolete)'!$G$27-$Q19))/('2.5 GPM (Obsolete)'!$H$27*'2.5 GPM (Obsolete)'!$C$27*100000)</f>
        <v>0.76226432621729856</v>
      </c>
      <c r="F44" s="139">
        <f>(F$25*'2.5 GPM (Obsolete)'!$D$27*'2.5 GPM (Obsolete)'!$E$27*('2.5 GPM (Obsolete)'!$G$27-$V19))/('2.5 GPM (Obsolete)'!$H$27*'2.5 GPM (Obsolete)'!$C$27*100000)</f>
        <v>2.5763422590075611</v>
      </c>
      <c r="G44" s="139">
        <f>(G$25*'2.5 GPM (Obsolete)'!$D$27*'2.5 GPM (Obsolete)'!$E$27*('2.5 GPM (Obsolete)'!$G$27-$V19))/('2.5 GPM (Obsolete)'!$H$27*'2.5 GPM (Obsolete)'!$C$27*100000)</f>
        <v>1.7170092354243314</v>
      </c>
      <c r="H44" s="139">
        <f>(H$25*'2.5 GPM (Obsolete)'!$D$27*'2.5 GPM (Obsolete)'!$E$27*('2.5 GPM (Obsolete)'!$G$27-$V19))/('2.5 GPM (Obsolete)'!$H$27*'2.5 GPM (Obsolete)'!$C$27*100000)</f>
        <v>0.85767621184110299</v>
      </c>
      <c r="J44" s="26"/>
      <c r="K44" s="26"/>
      <c r="L44" s="26"/>
      <c r="M44" s="26"/>
      <c r="N44" s="26"/>
      <c r="O44" s="26"/>
    </row>
    <row r="45" spans="2:15" x14ac:dyDescent="0.3">
      <c r="B45" s="77">
        <v>16</v>
      </c>
      <c r="C45" s="141">
        <f>(C$25*'2.5 GPM (Obsolete)'!$D$27*'2.5 GPM (Obsolete)'!$E$27*('2.5 GPM (Obsolete)'!$G$27-$Q20))/('2.5 GPM (Obsolete)'!$H$27*'2.5 GPM (Obsolete)'!$C$27*100000)</f>
        <v>3.9995488745037227</v>
      </c>
      <c r="D45" s="141">
        <f>(D$25*'2.5 GPM (Obsolete)'!$D$27*'2.5 GPM (Obsolete)'!$E$27*('2.5 GPM (Obsolete)'!$G$27-$Q20))/('2.5 GPM (Obsolete)'!$H$27*'2.5 GPM (Obsolete)'!$C$27*100000)</f>
        <v>2.6670794843776506</v>
      </c>
      <c r="E45" s="141">
        <f>(E$25*'2.5 GPM (Obsolete)'!$D$27*'2.5 GPM (Obsolete)'!$E$27*('2.5 GPM (Obsolete)'!$G$27-$Q20))/('2.5 GPM (Obsolete)'!$H$27*'2.5 GPM (Obsolete)'!$C$27*100000)</f>
        <v>1.3346100942515842</v>
      </c>
      <c r="F45" s="139">
        <f>(F$25*'2.5 GPM (Obsolete)'!$D$27*'2.5 GPM (Obsolete)'!$E$27*('2.5 GPM (Obsolete)'!$G$27-$V20))/('2.5 GPM (Obsolete)'!$H$27*'2.5 GPM (Obsolete)'!$C$27*100000)</f>
        <v>4.4682692780493012</v>
      </c>
      <c r="G45" s="139">
        <f>(G$25*'2.5 GPM (Obsolete)'!$D$27*'2.5 GPM (Obsolete)'!$E$27*('2.5 GPM (Obsolete)'!$G$27-$V20))/('2.5 GPM (Obsolete)'!$H$27*'2.5 GPM (Obsolete)'!$C$27*100000)</f>
        <v>2.977888357010777</v>
      </c>
      <c r="H45" s="139">
        <f>(H$25*'2.5 GPM (Obsolete)'!$D$27*'2.5 GPM (Obsolete)'!$E$27*('2.5 GPM (Obsolete)'!$G$27-$V20))/('2.5 GPM (Obsolete)'!$H$27*'2.5 GPM (Obsolete)'!$C$27*100000)</f>
        <v>1.4875074359722549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113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($I$25*'2.5 GPM (Obsolete)'!$D$27*'2.5 GPM (Obsolete)'!$E$27*('2.5 GPM (Obsolete)'!$G$27-$Q5))/('2.5 GPM (Obsolete)'!$H$27*'2.5 GPM (Obsolete)'!$C$27*100000)</f>
        <v>7.357378632062753</v>
      </c>
      <c r="D48" s="139">
        <f>($J$25*'2.5 GPM (Obsolete)'!$D$27*'2.5 GPM (Obsolete)'!$E$27*('2.5 GPM (Obsolete)'!$G$27-$Q5))/('2.5 GPM (Obsolete)'!$H$27*'2.5 GPM (Obsolete)'!$C$27*100000)</f>
        <v>10.700665061071156</v>
      </c>
      <c r="E48" s="127"/>
      <c r="F48" s="139">
        <f>($K$25*'2.5 GPM (Obsolete)'!$D$27*'2.5 GPM (Obsolete)'!$E$27*('2.5 GPM (Obsolete)'!$G$27-$Q5))/('2.5 GPM (Obsolete)'!$H$27*'2.5 GPM (Obsolete)'!$C$27*100000)</f>
        <v>8.2098748952995901</v>
      </c>
      <c r="G48" s="139">
        <f>($L$25*'2.5 GPM (Obsolete)'!$D$27*'2.5 GPM (Obsolete)'!$E$27*('2.5 GPM (Obsolete)'!$G$27-$Q5))/('2.5 GPM (Obsolete)'!$H$27*'2.5 GPM (Obsolete)'!$C$27*100000)</f>
        <v>11.942944836002736</v>
      </c>
      <c r="H48" s="127"/>
    </row>
    <row r="49" spans="2:8" x14ac:dyDescent="0.3">
      <c r="B49" s="77">
        <v>2</v>
      </c>
      <c r="C49" s="139">
        <f>($I$25*'2.5 GPM (Obsolete)'!$D$27*'2.5 GPM (Obsolete)'!$E$27*('2.5 GPM (Obsolete)'!$G$27-$Q6))/('2.5 GPM (Obsolete)'!$H$27*'2.5 GPM (Obsolete)'!$C$27*100000)</f>
        <v>6.5680807813353033</v>
      </c>
      <c r="D49" s="139">
        <f>($J$25*'2.5 GPM (Obsolete)'!$D$27*'2.5 GPM (Obsolete)'!$E$27*('2.5 GPM (Obsolete)'!$G$27-$Q6))/('2.5 GPM (Obsolete)'!$H$27*'2.5 GPM (Obsolete)'!$C$27*100000)</f>
        <v>9.5527002278830331</v>
      </c>
      <c r="E49" s="127"/>
      <c r="F49" s="139">
        <f>($K$25*'2.5 GPM (Obsolete)'!$D$27*'2.5 GPM (Obsolete)'!$E$27*('2.5 GPM (Obsolete)'!$G$27-$Q6))/('2.5 GPM (Obsolete)'!$H$27*'2.5 GPM (Obsolete)'!$C$27*100000)</f>
        <v>7.3291214457813298</v>
      </c>
      <c r="G49" s="139">
        <f>($L$25*'2.5 GPM (Obsolete)'!$D$27*'2.5 GPM (Obsolete)'!$E$27*('2.5 GPM (Obsolete)'!$G$27-$Q6))/('2.5 GPM (Obsolete)'!$H$27*'2.5 GPM (Obsolete)'!$C$27*100000)</f>
        <v>10.661708520484938</v>
      </c>
      <c r="H49" s="127"/>
    </row>
    <row r="50" spans="2:8" x14ac:dyDescent="0.3">
      <c r="B50" s="77">
        <v>3</v>
      </c>
      <c r="C50" s="139">
        <f>($I$25*'2.5 GPM (Obsolete)'!$D$27*'2.5 GPM (Obsolete)'!$E$27*('2.5 GPM (Obsolete)'!$G$27-$Q7))/('2.5 GPM (Obsolete)'!$H$27*'2.5 GPM (Obsolete)'!$C$27*100000)</f>
        <v>6.5961419788508966</v>
      </c>
      <c r="D50" s="139">
        <f>($J$25*'2.5 GPM (Obsolete)'!$D$27*'2.5 GPM (Obsolete)'!$E$27*('2.5 GPM (Obsolete)'!$G$27-$Q7))/('2.5 GPM (Obsolete)'!$H$27*'2.5 GPM (Obsolete)'!$C$27*100000)</f>
        <v>9.5935127904604656</v>
      </c>
      <c r="E50" s="127"/>
      <c r="F50" s="139">
        <f>($K$25*'2.5 GPM (Obsolete)'!$D$27*'2.5 GPM (Obsolete)'!$E$27*('2.5 GPM (Obsolete)'!$G$27-$Q7))/('2.5 GPM (Obsolete)'!$H$27*'2.5 GPM (Obsolete)'!$C$27*100000)</f>
        <v>7.3604340820525334</v>
      </c>
      <c r="G50" s="139">
        <f>($L$25*'2.5 GPM (Obsolete)'!$D$27*'2.5 GPM (Obsolete)'!$E$27*('2.5 GPM (Obsolete)'!$G$27-$Q7))/('2.5 GPM (Obsolete)'!$H$27*'2.5 GPM (Obsolete)'!$C$27*100000)</f>
        <v>10.707259164365139</v>
      </c>
      <c r="H50" s="127"/>
    </row>
    <row r="51" spans="2:8" x14ac:dyDescent="0.3">
      <c r="B51" s="77">
        <v>4</v>
      </c>
      <c r="C51" s="139">
        <f>($I$25*'2.5 GPM (Obsolete)'!$D$27*'2.5 GPM (Obsolete)'!$E$27*('2.5 GPM (Obsolete)'!$G$27-$Q8))/('2.5 GPM (Obsolete)'!$H$27*'2.5 GPM (Obsolete)'!$C$27*100000)</f>
        <v>6.2712935770523162</v>
      </c>
      <c r="D51" s="139">
        <f>($J$25*'2.5 GPM (Obsolete)'!$D$27*'2.5 GPM (Obsolete)'!$E$27*('2.5 GPM (Obsolete)'!$G$27-$Q8))/('2.5 GPM (Obsolete)'!$H$27*'2.5 GPM (Obsolete)'!$C$27*100000)</f>
        <v>9.1210491431333587</v>
      </c>
      <c r="E51" s="127"/>
      <c r="F51" s="139">
        <f>($K$25*'2.5 GPM (Obsolete)'!$D$27*'2.5 GPM (Obsolete)'!$E$27*('2.5 GPM (Obsolete)'!$G$27-$Q8))/('2.5 GPM (Obsolete)'!$H$27*'2.5 GPM (Obsolete)'!$C$27*100000)</f>
        <v>6.9979456371759872</v>
      </c>
      <c r="G51" s="139">
        <f>($L$25*'2.5 GPM (Obsolete)'!$D$27*'2.5 GPM (Obsolete)'!$E$27*('2.5 GPM (Obsolete)'!$G$27-$Q8))/('2.5 GPM (Obsolete)'!$H$27*'2.5 GPM (Obsolete)'!$C$27*100000)</f>
        <v>10.179945465184705</v>
      </c>
      <c r="H51" s="127"/>
    </row>
    <row r="52" spans="2:8" x14ac:dyDescent="0.3">
      <c r="B52" s="77">
        <v>5</v>
      </c>
      <c r="C52" s="139">
        <f>($I$25*'2.5 GPM (Obsolete)'!$D$27*'2.5 GPM (Obsolete)'!$E$27*('2.5 GPM (Obsolete)'!$G$27-$Q9))/('2.5 GPM (Obsolete)'!$H$27*'2.5 GPM (Obsolete)'!$C$27*100000)</f>
        <v>6.7589219250653993</v>
      </c>
      <c r="D52" s="139">
        <f>($J$25*'2.5 GPM (Obsolete)'!$D$27*'2.5 GPM (Obsolete)'!$E$27*('2.5 GPM (Obsolete)'!$G$27-$Q9))/('2.5 GPM (Obsolete)'!$H$27*'2.5 GPM (Obsolete)'!$C$27*100000)</f>
        <v>9.830262014635192</v>
      </c>
      <c r="E52" s="127"/>
      <c r="F52" s="139">
        <f>($K$25*'2.5 GPM (Obsolete)'!$D$27*'2.5 GPM (Obsolete)'!$E$27*('2.5 GPM (Obsolete)'!$G$27-$Q9))/('2.5 GPM (Obsolete)'!$H$27*'2.5 GPM (Obsolete)'!$C$27*100000)</f>
        <v>7.5420752698610221</v>
      </c>
      <c r="G52" s="139">
        <f>($L$25*'2.5 GPM (Obsolete)'!$D$27*'2.5 GPM (Obsolete)'!$E$27*('2.5 GPM (Obsolete)'!$G$27-$Q9))/('2.5 GPM (Obsolete)'!$H$27*'2.5 GPM (Obsolete)'!$C$27*100000)</f>
        <v>10.971493481405073</v>
      </c>
      <c r="H52" s="127"/>
    </row>
    <row r="53" spans="2:8" x14ac:dyDescent="0.3">
      <c r="B53" s="77">
        <v>6</v>
      </c>
      <c r="C53" s="139">
        <f>($I$25*'2.5 GPM (Obsolete)'!$D$27*'2.5 GPM (Obsolete)'!$E$27*('2.5 GPM (Obsolete)'!$G$27-$Q10))/('2.5 GPM (Obsolete)'!$H$27*'2.5 GPM (Obsolete)'!$C$27*100000)</f>
        <v>5.9648215458307172</v>
      </c>
      <c r="D53" s="139">
        <f>($J$25*'2.5 GPM (Obsolete)'!$D$27*'2.5 GPM (Obsolete)'!$E$27*('2.5 GPM (Obsolete)'!$G$27-$Q10))/('2.5 GPM (Obsolete)'!$H$27*'2.5 GPM (Obsolete)'!$C$27*100000)</f>
        <v>8.6753123229027249</v>
      </c>
      <c r="E53" s="127"/>
      <c r="F53" s="139">
        <f>($K$25*'2.5 GPM (Obsolete)'!$D$27*'2.5 GPM (Obsolete)'!$E$27*('2.5 GPM (Obsolete)'!$G$27-$Q10))/('2.5 GPM (Obsolete)'!$H$27*'2.5 GPM (Obsolete)'!$C$27*100000)</f>
        <v>6.6559628249454503</v>
      </c>
      <c r="G53" s="139">
        <f>($L$25*'2.5 GPM (Obsolete)'!$D$27*'2.5 GPM (Obsolete)'!$E$27*('2.5 GPM (Obsolete)'!$G$27-$Q10))/('2.5 GPM (Obsolete)'!$H$27*'2.5 GPM (Obsolete)'!$C$27*100000)</f>
        <v>9.682461409286514</v>
      </c>
      <c r="H53" s="127"/>
    </row>
    <row r="54" spans="2:8" x14ac:dyDescent="0.3">
      <c r="B54" s="77">
        <v>7</v>
      </c>
      <c r="C54" s="139">
        <f>($I$25*'2.5 GPM (Obsolete)'!$D$27*'2.5 GPM (Obsolete)'!$E$27*('2.5 GPM (Obsolete)'!$G$27-$Q11))/('2.5 GPM (Obsolete)'!$H$27*'2.5 GPM (Obsolete)'!$C$27*100000)</f>
        <v>5.8556128335644866</v>
      </c>
      <c r="D54" s="139">
        <f>($J$25*'2.5 GPM (Obsolete)'!$D$27*'2.5 GPM (Obsolete)'!$E$27*('2.5 GPM (Obsolete)'!$G$27-$Q11))/('2.5 GPM (Obsolete)'!$H$27*'2.5 GPM (Obsolete)'!$C$27*100000)</f>
        <v>8.5164777827556204</v>
      </c>
      <c r="E54" s="127"/>
      <c r="F54" s="139">
        <f>($K$25*'2.5 GPM (Obsolete)'!$D$27*'2.5 GPM (Obsolete)'!$E$27*('2.5 GPM (Obsolete)'!$G$27-$Q11))/('2.5 GPM (Obsolete)'!$H$27*'2.5 GPM (Obsolete)'!$C$27*100000)</f>
        <v>6.5341001466709816</v>
      </c>
      <c r="G54" s="139">
        <f>($L$25*'2.5 GPM (Obsolete)'!$D$27*'2.5 GPM (Obsolete)'!$E$27*('2.5 GPM (Obsolete)'!$G$27-$Q11))/('2.5 GPM (Obsolete)'!$H$27*'2.5 GPM (Obsolete)'!$C$27*100000)</f>
        <v>9.5051871800491359</v>
      </c>
      <c r="H54" s="127"/>
    </row>
    <row r="55" spans="2:8" x14ac:dyDescent="0.3">
      <c r="B55" s="77">
        <v>8</v>
      </c>
      <c r="C55" s="139">
        <f>($I$25*'2.5 GPM (Obsolete)'!$D$27*'2.5 GPM (Obsolete)'!$E$27*('2.5 GPM (Obsolete)'!$G$27-$Q12))/('2.5 GPM (Obsolete)'!$H$27*'2.5 GPM (Obsolete)'!$C$27*100000)</f>
        <v>5.699087136895904</v>
      </c>
      <c r="D55" s="139">
        <f>($J$25*'2.5 GPM (Obsolete)'!$D$27*'2.5 GPM (Obsolete)'!$E$27*('2.5 GPM (Obsolete)'!$G$27-$Q12))/('2.5 GPM (Obsolete)'!$H$27*'2.5 GPM (Obsolete)'!$C$27*100000)</f>
        <v>8.2888248186683633</v>
      </c>
      <c r="E55" s="127"/>
      <c r="F55" s="139">
        <f>($K$25*'2.5 GPM (Obsolete)'!$D$27*'2.5 GPM (Obsolete)'!$E$27*('2.5 GPM (Obsolete)'!$G$27-$Q12))/('2.5 GPM (Obsolete)'!$H$27*'2.5 GPM (Obsolete)'!$C$27*100000)</f>
        <v>6.3594378855840601</v>
      </c>
      <c r="G55" s="139">
        <f>($L$25*'2.5 GPM (Obsolete)'!$D$27*'2.5 GPM (Obsolete)'!$E$27*('2.5 GPM (Obsolete)'!$G$27-$Q12))/('2.5 GPM (Obsolete)'!$H$27*'2.5 GPM (Obsolete)'!$C$27*100000)</f>
        <v>9.2511051415655903</v>
      </c>
      <c r="H55" s="127"/>
    </row>
    <row r="56" spans="2:8" x14ac:dyDescent="0.3">
      <c r="B56" s="77">
        <v>9</v>
      </c>
      <c r="C56" s="139">
        <f>($I$25*'2.5 GPM (Obsolete)'!$D$27*'2.5 GPM (Obsolete)'!$E$27*('2.5 GPM (Obsolete)'!$G$27-$Q13))/('2.5 GPM (Obsolete)'!$H$27*'2.5 GPM (Obsolete)'!$C$27*100000)</f>
        <v>5.6919151803176211</v>
      </c>
      <c r="D56" s="139">
        <f>($J$25*'2.5 GPM (Obsolete)'!$D$27*'2.5 GPM (Obsolete)'!$E$27*('2.5 GPM (Obsolete)'!$G$27-$Q13))/('2.5 GPM (Obsolete)'!$H$27*'2.5 GPM (Obsolete)'!$C$27*100000)</f>
        <v>8.2783938338006955</v>
      </c>
      <c r="E56" s="127"/>
      <c r="F56" s="139">
        <f>($K$25*'2.5 GPM (Obsolete)'!$D$27*'2.5 GPM (Obsolete)'!$E$27*('2.5 GPM (Obsolete)'!$G$27-$Q13))/('2.5 GPM (Obsolete)'!$H$27*'2.5 GPM (Obsolete)'!$C$27*100000)</f>
        <v>6.3514349175152942</v>
      </c>
      <c r="G56" s="139">
        <f>($L$25*'2.5 GPM (Obsolete)'!$D$27*'2.5 GPM (Obsolete)'!$E$27*('2.5 GPM (Obsolete)'!$G$27-$Q13))/('2.5 GPM (Obsolete)'!$H$27*'2.5 GPM (Obsolete)'!$C$27*100000)</f>
        <v>9.2394631850938413</v>
      </c>
      <c r="H56" s="127"/>
    </row>
    <row r="57" spans="2:8" x14ac:dyDescent="0.3">
      <c r="B57" s="77">
        <v>10</v>
      </c>
      <c r="C57" s="139">
        <f>($I$25*'2.5 GPM (Obsolete)'!$D$27*'2.5 GPM (Obsolete)'!$E$27*('2.5 GPM (Obsolete)'!$G$27-$Q14))/('2.5 GPM (Obsolete)'!$H$27*'2.5 GPM (Obsolete)'!$C$27*100000)</f>
        <v>5.6520592834496881</v>
      </c>
      <c r="D57" s="139">
        <f>($J$25*'2.5 GPM (Obsolete)'!$D$27*'2.5 GPM (Obsolete)'!$E$27*('2.5 GPM (Obsolete)'!$G$27-$Q14))/('2.5 GPM (Obsolete)'!$H$27*'2.5 GPM (Obsolete)'!$C$27*100000)</f>
        <v>8.2204269104682783</v>
      </c>
      <c r="E57" s="127"/>
      <c r="F57" s="139">
        <f>($K$25*'2.5 GPM (Obsolete)'!$D$27*'2.5 GPM (Obsolete)'!$E$27*('2.5 GPM (Obsolete)'!$G$27-$Q14))/('2.5 GPM (Obsolete)'!$H$27*'2.5 GPM (Obsolete)'!$C$27*100000)</f>
        <v>6.3069609352059244</v>
      </c>
      <c r="G57" s="139">
        <f>($L$25*'2.5 GPM (Obsolete)'!$D$27*'2.5 GPM (Obsolete)'!$E$27*('2.5 GPM (Obsolete)'!$G$27-$Q14))/('2.5 GPM (Obsolete)'!$H$27*'2.5 GPM (Obsolete)'!$C$27*100000)</f>
        <v>9.1747666672867005</v>
      </c>
      <c r="H57" s="127"/>
    </row>
    <row r="58" spans="2:8" x14ac:dyDescent="0.3">
      <c r="B58" s="77">
        <v>11</v>
      </c>
      <c r="C58" s="139">
        <f>($I$25*'2.5 GPM (Obsolete)'!$D$27*'2.5 GPM (Obsolete)'!$E$27*('2.5 GPM (Obsolete)'!$G$27-$Q15))/('2.5 GPM (Obsolete)'!$H$27*'2.5 GPM (Obsolete)'!$C$27*100000)</f>
        <v>5.8133844705188435</v>
      </c>
      <c r="D58" s="139">
        <f>($J$25*'2.5 GPM (Obsolete)'!$D$27*'2.5 GPM (Obsolete)'!$E$27*('2.5 GPM (Obsolete)'!$G$27-$Q15))/('2.5 GPM (Obsolete)'!$H$27*'2.5 GPM (Obsolete)'!$C$27*100000)</f>
        <v>8.45506031443891</v>
      </c>
      <c r="E58" s="127"/>
      <c r="F58" s="139">
        <f>($K$25*'2.5 GPM (Obsolete)'!$D$27*'2.5 GPM (Obsolete)'!$E$27*('2.5 GPM (Obsolete)'!$G$27-$Q15))/('2.5 GPM (Obsolete)'!$H$27*'2.5 GPM (Obsolete)'!$C$27*100000)</f>
        <v>6.4869788015593963</v>
      </c>
      <c r="G58" s="139">
        <f>($L$25*'2.5 GPM (Obsolete)'!$D$27*'2.5 GPM (Obsolete)'!$E$27*('2.5 GPM (Obsolete)'!$G$27-$Q15))/('2.5 GPM (Obsolete)'!$H$27*'2.5 GPM (Obsolete)'!$C$27*100000)</f>
        <v>9.4366395307313482</v>
      </c>
      <c r="H58" s="127"/>
    </row>
    <row r="59" spans="2:8" x14ac:dyDescent="0.3">
      <c r="B59" s="77">
        <v>12</v>
      </c>
      <c r="C59" s="139">
        <f>($I$25*'2.5 GPM (Obsolete)'!$D$27*'2.5 GPM (Obsolete)'!$E$27*('2.5 GPM (Obsolete)'!$G$27-$Q16))/('2.5 GPM (Obsolete)'!$H$27*'2.5 GPM (Obsolete)'!$C$27*100000)</f>
        <v>6.0981288723561997</v>
      </c>
      <c r="D59" s="139">
        <f>($J$25*'2.5 GPM (Obsolete)'!$D$27*'2.5 GPM (Obsolete)'!$E$27*('2.5 GPM (Obsolete)'!$G$27-$Q16))/('2.5 GPM (Obsolete)'!$H$27*'2.5 GPM (Obsolete)'!$C$27*100000)</f>
        <v>8.8691961941390876</v>
      </c>
      <c r="E59" s="127"/>
      <c r="F59" s="139">
        <f>($K$25*'2.5 GPM (Obsolete)'!$D$27*'2.5 GPM (Obsolete)'!$E$27*('2.5 GPM (Obsolete)'!$G$27-$Q16))/('2.5 GPM (Obsolete)'!$H$27*'2.5 GPM (Obsolete)'!$C$27*100000)</f>
        <v>6.8047164134357345</v>
      </c>
      <c r="G59" s="139">
        <f>($L$25*'2.5 GPM (Obsolete)'!$D$27*'2.5 GPM (Obsolete)'!$E$27*('2.5 GPM (Obsolete)'!$G$27-$Q16))/('2.5 GPM (Obsolete)'!$H$27*'2.5 GPM (Obsolete)'!$C$27*100000)</f>
        <v>9.8988539760616838</v>
      </c>
      <c r="H59" s="127"/>
    </row>
    <row r="60" spans="2:8" x14ac:dyDescent="0.3">
      <c r="B60" s="77">
        <v>13</v>
      </c>
      <c r="C60" s="139">
        <f>($I$25*'2.5 GPM (Obsolete)'!$D$27*'2.5 GPM (Obsolete)'!$E$27*('2.5 GPM (Obsolete)'!$G$27-$Q17))/('2.5 GPM (Obsolete)'!$H$27*'2.5 GPM (Obsolete)'!$C$27*100000)</f>
        <v>5.6898378458521179</v>
      </c>
      <c r="D60" s="139">
        <f>($J$25*'2.5 GPM (Obsolete)'!$D$27*'2.5 GPM (Obsolete)'!$E$27*('2.5 GPM (Obsolete)'!$G$27-$Q17))/('2.5 GPM (Obsolete)'!$H$27*'2.5 GPM (Obsolete)'!$C$27*100000)</f>
        <v>8.2753725321324225</v>
      </c>
      <c r="E60" s="127"/>
      <c r="F60" s="139">
        <f>($K$25*'2.5 GPM (Obsolete)'!$D$27*'2.5 GPM (Obsolete)'!$E$27*('2.5 GPM (Obsolete)'!$G$27-$Q17))/('2.5 GPM (Obsolete)'!$H$27*'2.5 GPM (Obsolete)'!$C$27*100000)</f>
        <v>6.3491168832084623</v>
      </c>
      <c r="G60" s="139">
        <f>($L$25*'2.5 GPM (Obsolete)'!$D$27*'2.5 GPM (Obsolete)'!$E$27*('2.5 GPM (Obsolete)'!$G$27-$Q17))/('2.5 GPM (Obsolete)'!$H$27*'2.5 GPM (Obsolete)'!$C$27*100000)</f>
        <v>9.2360911293429915</v>
      </c>
      <c r="H60" s="127"/>
    </row>
    <row r="61" spans="2:8" x14ac:dyDescent="0.3">
      <c r="B61" s="77">
        <v>14</v>
      </c>
      <c r="C61" s="139">
        <f>($I$25*'2.5 GPM (Obsolete)'!$D$27*'2.5 GPM (Obsolete)'!$E$27*('2.5 GPM (Obsolete)'!$G$27-$Q18))/('2.5 GPM (Obsolete)'!$H$27*'2.5 GPM (Obsolete)'!$C$27*100000)</f>
        <v>5.8842036248622929</v>
      </c>
      <c r="D61" s="139">
        <f>($J$25*'2.5 GPM (Obsolete)'!$D$27*'2.5 GPM (Obsolete)'!$E$27*('2.5 GPM (Obsolete)'!$G$27-$Q18))/('2.5 GPM (Obsolete)'!$H$27*'2.5 GPM (Obsolete)'!$C$27*100000)</f>
        <v>8.5580605932658127</v>
      </c>
      <c r="E61" s="127"/>
      <c r="F61" s="139">
        <f>($K$25*'2.5 GPM (Obsolete)'!$D$27*'2.5 GPM (Obsolete)'!$E$27*('2.5 GPM (Obsolete)'!$G$27-$Q18))/('2.5 GPM (Obsolete)'!$H$27*'2.5 GPM (Obsolete)'!$C$27*100000)</f>
        <v>6.5660037405256855</v>
      </c>
      <c r="G61" s="139">
        <f>($L$25*'2.5 GPM (Obsolete)'!$D$27*'2.5 GPM (Obsolete)'!$E$27*('2.5 GPM (Obsolete)'!$G$27-$Q18))/('2.5 GPM (Obsolete)'!$H$27*'2.5 GPM (Obsolete)'!$C$27*100000)</f>
        <v>9.5515974927927694</v>
      </c>
      <c r="H61" s="127"/>
    </row>
    <row r="62" spans="2:8" x14ac:dyDescent="0.3">
      <c r="B62" s="77">
        <v>15</v>
      </c>
      <c r="C62" s="139">
        <f>($I$25*'2.5 GPM (Obsolete)'!$D$27*'2.5 GPM (Obsolete)'!$E$27*('2.5 GPM (Obsolete)'!$G$27-$Q19))/('2.5 GPM (Obsolete)'!$H$27*'2.5 GPM (Obsolete)'!$C$27*100000)</f>
        <v>4.1869517971871559</v>
      </c>
      <c r="D62" s="139">
        <f>($J$25*'2.5 GPM (Obsolete)'!$D$27*'2.5 GPM (Obsolete)'!$E$27*('2.5 GPM (Obsolete)'!$G$27-$Q19))/('2.5 GPM (Obsolete)'!$H$27*'2.5 GPM (Obsolete)'!$C$27*100000)</f>
        <v>6.0895559477259678</v>
      </c>
      <c r="E62" s="127"/>
      <c r="F62" s="139">
        <f>($K$25*'2.5 GPM (Obsolete)'!$D$27*'2.5 GPM (Obsolete)'!$E$27*('2.5 GPM (Obsolete)'!$G$27-$Q19))/('2.5 GPM (Obsolete)'!$H$27*'2.5 GPM (Obsolete)'!$C$27*100000)</f>
        <v>4.6720920815134068</v>
      </c>
      <c r="G62" s="139">
        <f>($L$25*'2.5 GPM (Obsolete)'!$D$27*'2.5 GPM (Obsolete)'!$E$27*('2.5 GPM (Obsolete)'!$G$27-$Q19))/('2.5 GPM (Obsolete)'!$H$27*'2.5 GPM (Obsolete)'!$C$27*100000)</f>
        <v>6.7965150151296729</v>
      </c>
      <c r="H62" s="127"/>
    </row>
    <row r="63" spans="2:8" x14ac:dyDescent="0.3">
      <c r="B63" s="77">
        <v>16</v>
      </c>
      <c r="C63" s="139">
        <f>($I$25*'2.5 GPM (Obsolete)'!$D$27*'2.5 GPM (Obsolete)'!$E$27*('2.5 GPM (Obsolete)'!$G$27-$Q20))/('2.5 GPM (Obsolete)'!$H$27*'2.5 GPM (Obsolete)'!$C$27*100000)</f>
        <v>7.3307223498188927</v>
      </c>
      <c r="D63" s="139">
        <f>($J$25*'2.5 GPM (Obsolete)'!$D$27*'2.5 GPM (Obsolete)'!$E$27*('2.5 GPM (Obsolete)'!$G$27-$Q20))/('2.5 GPM (Obsolete)'!$H$27*'2.5 GPM (Obsolete)'!$C$27*100000)</f>
        <v>10.661895825134067</v>
      </c>
      <c r="E63" s="127"/>
      <c r="F63" s="139">
        <f>($K$25*'2.5 GPM (Obsolete)'!$D$27*'2.5 GPM (Obsolete)'!$E$27*('2.5 GPM (Obsolete)'!$G$27-$Q20))/('2.5 GPM (Obsolete)'!$H$27*'2.5 GPM (Obsolete)'!$C$27*100000)</f>
        <v>8.1801299612218212</v>
      </c>
      <c r="G63" s="139">
        <f>($L$25*'2.5 GPM (Obsolete)'!$D$27*'2.5 GPM (Obsolete)'!$E$27*('2.5 GPM (Obsolete)'!$G$27-$Q20))/('2.5 GPM (Obsolete)'!$H$27*'2.5 GPM (Obsolete)'!$C$27*100000)</f>
        <v>11.89967473610819</v>
      </c>
      <c r="H63" s="127"/>
    </row>
  </sheetData>
  <mergeCells count="7">
    <mergeCell ref="K27:O27"/>
    <mergeCell ref="C11:H11"/>
    <mergeCell ref="I11:N11"/>
    <mergeCell ref="C23:E23"/>
    <mergeCell ref="I23:J23"/>
    <mergeCell ref="K23:L23"/>
    <mergeCell ref="F23:H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R16" sqref="R16"/>
    </sheetView>
  </sheetViews>
  <sheetFormatPr defaultRowHeight="14.4" x14ac:dyDescent="0.3"/>
  <cols>
    <col min="14" max="14" width="4.5546875" bestFit="1" customWidth="1"/>
    <col min="15" max="15" width="17.88671875" bestFit="1" customWidth="1"/>
    <col min="16" max="16" width="8.88671875" customWidth="1"/>
  </cols>
  <sheetData>
    <row r="1" spans="1:16" x14ac:dyDescent="0.25">
      <c r="A1" s="50" t="s">
        <v>60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x14ac:dyDescent="0.25">
      <c r="A2" s="44"/>
      <c r="B2" s="46" t="s">
        <v>61</v>
      </c>
      <c r="C2" s="46" t="s">
        <v>62</v>
      </c>
      <c r="D2" s="46" t="s">
        <v>63</v>
      </c>
      <c r="E2" s="46" t="s">
        <v>64</v>
      </c>
      <c r="F2" s="46" t="s">
        <v>65</v>
      </c>
      <c r="G2" s="46" t="s">
        <v>66</v>
      </c>
      <c r="H2" s="46" t="s">
        <v>67</v>
      </c>
      <c r="I2" s="46" t="s">
        <v>68</v>
      </c>
      <c r="J2" s="46" t="s">
        <v>69</v>
      </c>
      <c r="K2" s="46" t="s">
        <v>70</v>
      </c>
      <c r="L2" s="46" t="s">
        <v>71</v>
      </c>
      <c r="M2" s="46" t="s">
        <v>72</v>
      </c>
      <c r="N2" s="47" t="s">
        <v>73</v>
      </c>
      <c r="O2" s="48" t="s">
        <v>74</v>
      </c>
    </row>
    <row r="3" spans="1:16" x14ac:dyDescent="0.25">
      <c r="A3" s="43" t="s">
        <v>75</v>
      </c>
      <c r="B3" s="45">
        <v>49.529999999999973</v>
      </c>
      <c r="C3" s="45">
        <v>48.729999999999961</v>
      </c>
      <c r="D3" s="45">
        <v>48.629999999999995</v>
      </c>
      <c r="E3" s="45">
        <v>49.029999999999973</v>
      </c>
      <c r="F3" s="45">
        <v>50.529999999999973</v>
      </c>
      <c r="G3" s="45">
        <v>52.029999999999973</v>
      </c>
      <c r="H3" s="45">
        <v>53.229999999999961</v>
      </c>
      <c r="I3" s="45">
        <v>54.03000000000003</v>
      </c>
      <c r="J3" s="45">
        <v>54.129999999999939</v>
      </c>
      <c r="K3" s="45">
        <v>53.430000000000007</v>
      </c>
      <c r="L3" s="45">
        <v>52.229999999999961</v>
      </c>
      <c r="M3" s="45">
        <v>50.829999999999984</v>
      </c>
      <c r="N3" s="49">
        <v>51.379589041095869</v>
      </c>
      <c r="O3" s="115">
        <v>51.364580033093063</v>
      </c>
      <c r="P3" s="26">
        <f>+N3-O3</f>
        <v>1.5009008002806468E-2</v>
      </c>
    </row>
    <row r="4" spans="1:16" x14ac:dyDescent="0.25">
      <c r="A4" s="43" t="s">
        <v>76</v>
      </c>
      <c r="B4" s="45">
        <v>53.729999999999961</v>
      </c>
      <c r="C4" s="45">
        <v>52.329999999999984</v>
      </c>
      <c r="D4" s="45">
        <v>52.129999999999995</v>
      </c>
      <c r="E4" s="45">
        <v>52.829999999999984</v>
      </c>
      <c r="F4" s="45">
        <v>55.629999999999939</v>
      </c>
      <c r="G4" s="45">
        <v>58.430000000000007</v>
      </c>
      <c r="H4" s="45">
        <v>60.829999999999984</v>
      </c>
      <c r="I4" s="45">
        <v>62.329999999999984</v>
      </c>
      <c r="J4" s="45">
        <v>62.53000000000003</v>
      </c>
      <c r="K4" s="45">
        <v>61.229999999999961</v>
      </c>
      <c r="L4" s="45">
        <v>58.930000000000007</v>
      </c>
      <c r="M4" s="45">
        <v>56.229999999999961</v>
      </c>
      <c r="N4" s="49">
        <v>57.293835616438336</v>
      </c>
      <c r="O4" s="115">
        <v>57.228777954220476</v>
      </c>
      <c r="P4" s="26">
        <f t="shared" ref="P4:P18" si="0">+N4-O4</f>
        <v>6.5057662217860468E-2</v>
      </c>
    </row>
    <row r="5" spans="1:16" x14ac:dyDescent="0.25">
      <c r="A5" s="43" t="s">
        <v>77</v>
      </c>
      <c r="B5" s="45">
        <v>54.53000000000003</v>
      </c>
      <c r="C5" s="45">
        <v>53.430000000000007</v>
      </c>
      <c r="D5" s="45">
        <v>53.329999999999984</v>
      </c>
      <c r="E5" s="45">
        <v>53.829999999999984</v>
      </c>
      <c r="F5" s="45">
        <v>55.829999999999984</v>
      </c>
      <c r="G5" s="45">
        <v>57.829999999999984</v>
      </c>
      <c r="H5" s="45">
        <v>59.629999999999939</v>
      </c>
      <c r="I5" s="45">
        <v>60.729999999999961</v>
      </c>
      <c r="J5" s="45">
        <v>60.829999999999984</v>
      </c>
      <c r="K5" s="45">
        <v>59.930000000000007</v>
      </c>
      <c r="L5" s="45">
        <v>58.229999999999961</v>
      </c>
      <c r="M5" s="45">
        <v>56.229999999999961</v>
      </c>
      <c r="N5" s="49">
        <v>57.052465753424642</v>
      </c>
      <c r="O5" s="115">
        <v>57.018636140670921</v>
      </c>
      <c r="P5" s="26">
        <f t="shared" si="0"/>
        <v>3.3829612753720539E-2</v>
      </c>
    </row>
    <row r="6" spans="1:16" x14ac:dyDescent="0.25">
      <c r="A6" s="43" t="s">
        <v>78</v>
      </c>
      <c r="B6" s="45">
        <v>55.729999999999961</v>
      </c>
      <c r="C6" s="45">
        <v>54.129999999999939</v>
      </c>
      <c r="D6" s="45">
        <v>54.03000000000003</v>
      </c>
      <c r="E6" s="45">
        <v>54.829999999999984</v>
      </c>
      <c r="F6" s="45">
        <v>57.729999999999961</v>
      </c>
      <c r="G6" s="45">
        <v>60.729999999999961</v>
      </c>
      <c r="H6" s="45">
        <v>63.329999999999984</v>
      </c>
      <c r="I6" s="45">
        <v>64.930000000000007</v>
      </c>
      <c r="J6" s="45">
        <v>65.03000000000003</v>
      </c>
      <c r="K6" s="45">
        <v>63.729999999999961</v>
      </c>
      <c r="L6" s="45">
        <v>61.229999999999961</v>
      </c>
      <c r="M6" s="45">
        <v>58.329999999999984</v>
      </c>
      <c r="N6" s="49">
        <v>59.513287671232852</v>
      </c>
      <c r="O6" s="115">
        <v>59.433606267155675</v>
      </c>
      <c r="P6" s="26">
        <f t="shared" si="0"/>
        <v>7.9681404077177831E-2</v>
      </c>
    </row>
    <row r="7" spans="1:16" x14ac:dyDescent="0.25">
      <c r="A7" s="43" t="s">
        <v>79</v>
      </c>
      <c r="B7" s="45">
        <v>53.629999999999939</v>
      </c>
      <c r="C7" s="45">
        <v>52.729999999999961</v>
      </c>
      <c r="D7" s="45">
        <v>52.729999999999961</v>
      </c>
      <c r="E7" s="45">
        <v>53.129999999999939</v>
      </c>
      <c r="F7" s="45">
        <v>54.829999999999984</v>
      </c>
      <c r="G7" s="45">
        <v>56.53000000000003</v>
      </c>
      <c r="H7" s="45">
        <v>58.03000000000003</v>
      </c>
      <c r="I7" s="45">
        <v>58.930000000000007</v>
      </c>
      <c r="J7" s="45">
        <v>59.03000000000003</v>
      </c>
      <c r="K7" s="45">
        <v>58.229999999999961</v>
      </c>
      <c r="L7" s="45">
        <v>56.829999999999984</v>
      </c>
      <c r="M7" s="45">
        <v>55.129999999999939</v>
      </c>
      <c r="N7" s="49">
        <v>55.832465753424636</v>
      </c>
      <c r="O7" s="115">
        <v>55.809222967055064</v>
      </c>
      <c r="P7" s="26">
        <f t="shared" si="0"/>
        <v>2.3242786369571888E-2</v>
      </c>
    </row>
    <row r="8" spans="1:16" x14ac:dyDescent="0.25">
      <c r="A8" s="43" t="s">
        <v>80</v>
      </c>
      <c r="B8" s="45">
        <v>58.930000000000007</v>
      </c>
      <c r="C8" s="45">
        <v>57.829999999999984</v>
      </c>
      <c r="D8" s="45">
        <v>57.729999999999961</v>
      </c>
      <c r="E8" s="45">
        <v>58.229999999999961</v>
      </c>
      <c r="F8" s="45">
        <v>60.430000000000007</v>
      </c>
      <c r="G8" s="45">
        <v>62.629999999999939</v>
      </c>
      <c r="H8" s="45">
        <v>64.53000000000003</v>
      </c>
      <c r="I8" s="45">
        <v>65.729999999999961</v>
      </c>
      <c r="J8" s="45">
        <v>65.829999999999984</v>
      </c>
      <c r="K8" s="45">
        <v>64.930000000000007</v>
      </c>
      <c r="L8" s="45">
        <v>63.03000000000003</v>
      </c>
      <c r="M8" s="45">
        <v>60.930000000000007</v>
      </c>
      <c r="N8" s="49">
        <v>61.754383561643834</v>
      </c>
      <c r="O8" s="115">
        <v>61.7076407235907</v>
      </c>
      <c r="P8" s="26">
        <f t="shared" si="0"/>
        <v>4.6742838053134506E-2</v>
      </c>
    </row>
    <row r="9" spans="1:16" x14ac:dyDescent="0.25">
      <c r="A9" s="43" t="s">
        <v>81</v>
      </c>
      <c r="B9" s="45">
        <v>60.229999999999961</v>
      </c>
      <c r="C9" s="45">
        <v>59.329999999999984</v>
      </c>
      <c r="D9" s="45">
        <v>59.229999999999961</v>
      </c>
      <c r="E9" s="45">
        <v>59.729999999999961</v>
      </c>
      <c r="F9" s="45">
        <v>61.53000000000003</v>
      </c>
      <c r="G9" s="45">
        <v>63.229999999999961</v>
      </c>
      <c r="H9" s="45">
        <v>64.829999999999984</v>
      </c>
      <c r="I9" s="45">
        <v>65.829999999999984</v>
      </c>
      <c r="J9" s="45">
        <v>65.930000000000007</v>
      </c>
      <c r="K9" s="45">
        <v>65.129999999999939</v>
      </c>
      <c r="L9" s="45">
        <v>63.53000000000003</v>
      </c>
      <c r="M9" s="45">
        <v>61.829999999999984</v>
      </c>
      <c r="N9" s="49">
        <v>62.54999999999999</v>
      </c>
      <c r="O9" s="115">
        <v>62.517801492421739</v>
      </c>
      <c r="P9" s="26">
        <f t="shared" si="0"/>
        <v>3.2198507578250712E-2</v>
      </c>
    </row>
    <row r="10" spans="1:16" x14ac:dyDescent="0.25">
      <c r="A10" s="43" t="s">
        <v>82</v>
      </c>
      <c r="B10" s="45">
        <v>60.729999999999961</v>
      </c>
      <c r="C10" s="45">
        <v>59.53000000000003</v>
      </c>
      <c r="D10" s="45">
        <v>59.430000000000007</v>
      </c>
      <c r="E10" s="45">
        <v>59.930000000000007</v>
      </c>
      <c r="F10" s="45">
        <v>62.329999999999984</v>
      </c>
      <c r="G10" s="45">
        <v>64.729999999999961</v>
      </c>
      <c r="H10" s="45">
        <v>66.729999999999961</v>
      </c>
      <c r="I10" s="45">
        <v>68.03000000000003</v>
      </c>
      <c r="J10" s="45">
        <v>68.129999999999939</v>
      </c>
      <c r="K10" s="45">
        <v>67.03000000000003</v>
      </c>
      <c r="L10" s="45">
        <v>65.129999999999939</v>
      </c>
      <c r="M10" s="45">
        <v>62.829999999999984</v>
      </c>
      <c r="N10" s="49">
        <v>63.739315068493134</v>
      </c>
      <c r="O10" s="115">
        <v>63.681662908441318</v>
      </c>
      <c r="P10" s="26">
        <f t="shared" si="0"/>
        <v>5.7652160051816281E-2</v>
      </c>
    </row>
    <row r="11" spans="1:16" x14ac:dyDescent="0.25">
      <c r="A11" s="43" t="s">
        <v>83</v>
      </c>
      <c r="B11" s="45">
        <v>60.229999999999961</v>
      </c>
      <c r="C11" s="45">
        <v>58.729999999999961</v>
      </c>
      <c r="D11" s="45">
        <v>58.629999999999939</v>
      </c>
      <c r="E11" s="45">
        <v>59.329999999999984</v>
      </c>
      <c r="F11" s="45">
        <v>62.129999999999939</v>
      </c>
      <c r="G11" s="45">
        <v>64.930000000000007</v>
      </c>
      <c r="H11" s="45">
        <v>67.430000000000007</v>
      </c>
      <c r="I11" s="45">
        <v>68.930000000000007</v>
      </c>
      <c r="J11" s="45">
        <v>69.129999999999939</v>
      </c>
      <c r="K11" s="45">
        <v>67.829999999999984</v>
      </c>
      <c r="L11" s="45">
        <v>65.430000000000007</v>
      </c>
      <c r="M11" s="45">
        <v>62.729999999999961</v>
      </c>
      <c r="N11" s="49">
        <v>63.819863013698601</v>
      </c>
      <c r="O11" s="115">
        <v>63.73642626526626</v>
      </c>
      <c r="P11" s="26">
        <f t="shared" si="0"/>
        <v>8.3436748432340835E-2</v>
      </c>
    </row>
    <row r="12" spans="1:16" x14ac:dyDescent="0.25">
      <c r="A12" s="43" t="s">
        <v>84</v>
      </c>
      <c r="B12" s="45">
        <v>59.930000000000007</v>
      </c>
      <c r="C12" s="45">
        <v>58.229999999999961</v>
      </c>
      <c r="D12" s="45">
        <v>58.03000000000003</v>
      </c>
      <c r="E12" s="45">
        <v>58.930000000000007</v>
      </c>
      <c r="F12" s="45">
        <v>62.229999999999961</v>
      </c>
      <c r="G12" s="45">
        <v>65.53000000000003</v>
      </c>
      <c r="H12" s="45">
        <v>68.329999999999984</v>
      </c>
      <c r="I12" s="45">
        <v>70.129999999999939</v>
      </c>
      <c r="J12" s="45">
        <v>70.329999999999984</v>
      </c>
      <c r="K12" s="45">
        <v>68.829999999999984</v>
      </c>
      <c r="L12" s="45">
        <v>66.03000000000003</v>
      </c>
      <c r="M12" s="45">
        <v>62.829999999999984</v>
      </c>
      <c r="N12" s="49">
        <v>64.149726027397264</v>
      </c>
      <c r="O12" s="115">
        <v>64.034278419031239</v>
      </c>
      <c r="P12" s="26">
        <f t="shared" si="0"/>
        <v>0.11544760836602563</v>
      </c>
    </row>
    <row r="13" spans="1:16" x14ac:dyDescent="0.25">
      <c r="A13" s="43" t="s">
        <v>85</v>
      </c>
      <c r="B13" s="45">
        <v>55.829999999999984</v>
      </c>
      <c r="C13" s="45">
        <v>52.829999999999984</v>
      </c>
      <c r="D13" s="45">
        <v>52.629999999999939</v>
      </c>
      <c r="E13" s="45">
        <v>54.03000000000003</v>
      </c>
      <c r="F13" s="45">
        <v>59.829999999999984</v>
      </c>
      <c r="G13" s="45">
        <v>65.53000000000003</v>
      </c>
      <c r="H13" s="45">
        <v>70.53000000000003</v>
      </c>
      <c r="I13" s="45">
        <v>73.629999999999939</v>
      </c>
      <c r="J13" s="45">
        <v>73.930000000000007</v>
      </c>
      <c r="K13" s="45">
        <v>71.329999999999984</v>
      </c>
      <c r="L13" s="45">
        <v>66.53000000000003</v>
      </c>
      <c r="M13" s="45">
        <v>60.930000000000007</v>
      </c>
      <c r="N13" s="49">
        <v>63.194109589041105</v>
      </c>
      <c r="O13" s="115">
        <v>62.849596632185438</v>
      </c>
      <c r="P13" s="26">
        <f t="shared" si="0"/>
        <v>0.34451295685566663</v>
      </c>
    </row>
    <row r="14" spans="1:16" x14ac:dyDescent="0.25">
      <c r="A14" s="43" t="s">
        <v>86</v>
      </c>
      <c r="B14" s="45">
        <v>55.629999999999939</v>
      </c>
      <c r="C14" s="45">
        <v>53.53000000000003</v>
      </c>
      <c r="D14" s="45">
        <v>53.329999999999984</v>
      </c>
      <c r="E14" s="45">
        <v>54.329999999999984</v>
      </c>
      <c r="F14" s="45">
        <v>58.430000000000007</v>
      </c>
      <c r="G14" s="45">
        <v>62.53000000000003</v>
      </c>
      <c r="H14" s="45">
        <v>66.129999999999939</v>
      </c>
      <c r="I14" s="45">
        <v>68.329999999999984</v>
      </c>
      <c r="J14" s="45">
        <v>68.53000000000003</v>
      </c>
      <c r="K14" s="45">
        <v>66.729999999999961</v>
      </c>
      <c r="L14" s="45">
        <v>63.229999999999961</v>
      </c>
      <c r="M14" s="45">
        <v>59.329999999999984</v>
      </c>
      <c r="N14" s="49">
        <v>60.883972602739711</v>
      </c>
      <c r="O14" s="115">
        <v>60.724166599055522</v>
      </c>
      <c r="P14" s="26">
        <f t="shared" si="0"/>
        <v>0.15980600368418862</v>
      </c>
    </row>
    <row r="15" spans="1:16" x14ac:dyDescent="0.25">
      <c r="A15" s="43" t="s">
        <v>87</v>
      </c>
      <c r="B15" s="45">
        <v>57.03000000000003</v>
      </c>
      <c r="C15" s="45">
        <v>54.03000000000003</v>
      </c>
      <c r="D15" s="45">
        <v>53.829999999999984</v>
      </c>
      <c r="E15" s="45">
        <v>55.229999999999961</v>
      </c>
      <c r="F15" s="45">
        <v>60.829999999999984</v>
      </c>
      <c r="G15" s="45">
        <v>66.329999999999984</v>
      </c>
      <c r="H15" s="45">
        <v>71.129999999999939</v>
      </c>
      <c r="I15" s="45">
        <v>74.229999999999961</v>
      </c>
      <c r="J15" s="45">
        <v>74.53000000000003</v>
      </c>
      <c r="K15" s="45">
        <v>72.03000000000003</v>
      </c>
      <c r="L15" s="45">
        <v>67.329999999999984</v>
      </c>
      <c r="M15" s="45">
        <v>61.930000000000007</v>
      </c>
      <c r="N15" s="49">
        <v>64.100684931506848</v>
      </c>
      <c r="O15" s="115">
        <v>63.766558078981539</v>
      </c>
      <c r="P15" s="26">
        <f t="shared" si="0"/>
        <v>0.33412685252530849</v>
      </c>
    </row>
    <row r="16" spans="1:16" x14ac:dyDescent="0.25">
      <c r="A16" s="43" t="s">
        <v>88</v>
      </c>
      <c r="B16" s="45">
        <v>55.229999999999961</v>
      </c>
      <c r="C16" s="45">
        <v>52.229999999999961</v>
      </c>
      <c r="D16" s="45">
        <v>51.930000000000007</v>
      </c>
      <c r="E16" s="45">
        <v>53.430000000000007</v>
      </c>
      <c r="F16" s="45">
        <v>59.229999999999961</v>
      </c>
      <c r="G16" s="45">
        <v>65.03000000000003</v>
      </c>
      <c r="H16" s="45">
        <v>70.03000000000003</v>
      </c>
      <c r="I16" s="45">
        <v>73.229999999999961</v>
      </c>
      <c r="J16" s="45">
        <v>73.53000000000003</v>
      </c>
      <c r="K16" s="45">
        <v>70.930000000000007</v>
      </c>
      <c r="L16" s="45">
        <v>66.03000000000003</v>
      </c>
      <c r="M16" s="45">
        <v>60.430000000000007</v>
      </c>
      <c r="N16" s="49">
        <v>62.669452054794526</v>
      </c>
      <c r="O16" s="115">
        <v>62.32370084693008</v>
      </c>
      <c r="P16" s="26">
        <f t="shared" si="0"/>
        <v>0.34575120786444558</v>
      </c>
    </row>
    <row r="17" spans="1:16" x14ac:dyDescent="0.25">
      <c r="A17" s="43" t="s">
        <v>89</v>
      </c>
      <c r="B17" s="45">
        <v>68.430000000000007</v>
      </c>
      <c r="C17" s="45">
        <v>65.53000000000003</v>
      </c>
      <c r="D17" s="45">
        <v>65.329999999999984</v>
      </c>
      <c r="E17" s="45">
        <v>66.629999999999939</v>
      </c>
      <c r="F17" s="45">
        <v>72.229999999999961</v>
      </c>
      <c r="G17" s="45">
        <v>77.729999999999961</v>
      </c>
      <c r="H17" s="45">
        <v>82.43</v>
      </c>
      <c r="I17" s="45">
        <v>85.53000000000003</v>
      </c>
      <c r="J17" s="45">
        <v>85.729999999999961</v>
      </c>
      <c r="K17" s="45">
        <v>83.329999999999984</v>
      </c>
      <c r="L17" s="45">
        <v>78.629999999999939</v>
      </c>
      <c r="M17" s="45">
        <v>73.329999999999984</v>
      </c>
      <c r="N17" s="49">
        <v>75.466712328767116</v>
      </c>
      <c r="O17" s="115">
        <v>74.941209465709022</v>
      </c>
      <c r="P17" s="26">
        <f t="shared" si="0"/>
        <v>0.52550286305809379</v>
      </c>
    </row>
    <row r="18" spans="1:16" x14ac:dyDescent="0.3">
      <c r="A18" s="43" t="s">
        <v>90</v>
      </c>
      <c r="B18" s="45">
        <v>45.329999999999984</v>
      </c>
      <c r="C18" s="45">
        <v>42.729999999999961</v>
      </c>
      <c r="D18" s="45">
        <v>42.430000000000007</v>
      </c>
      <c r="E18" s="45">
        <v>43.729999999999961</v>
      </c>
      <c r="F18" s="45">
        <v>48.729999999999961</v>
      </c>
      <c r="G18" s="45">
        <v>53.829999999999984</v>
      </c>
      <c r="H18" s="45">
        <v>58.129999999999939</v>
      </c>
      <c r="I18" s="45">
        <v>60.930000000000007</v>
      </c>
      <c r="J18" s="45">
        <v>61.129999999999939</v>
      </c>
      <c r="K18" s="45">
        <v>58.930000000000007</v>
      </c>
      <c r="L18" s="45">
        <v>54.629999999999939</v>
      </c>
      <c r="M18" s="45">
        <v>49.829999999999984</v>
      </c>
      <c r="N18" s="49">
        <v>51.75246575342463</v>
      </c>
      <c r="O18" s="115">
        <v>51.571642274845871</v>
      </c>
      <c r="P18" s="26">
        <f t="shared" si="0"/>
        <v>0.18082347857875902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Q14" sqref="Q14"/>
    </sheetView>
  </sheetViews>
  <sheetFormatPr defaultRowHeight="14.4" x14ac:dyDescent="0.3"/>
  <cols>
    <col min="15" max="15" width="17.88671875" bestFit="1" customWidth="1"/>
  </cols>
  <sheetData>
    <row r="1" spans="1:15" x14ac:dyDescent="0.25">
      <c r="A1" s="77" t="s">
        <v>60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x14ac:dyDescent="0.25">
      <c r="A2" s="102"/>
      <c r="B2" s="104" t="s">
        <v>61</v>
      </c>
      <c r="C2" s="104" t="s">
        <v>62</v>
      </c>
      <c r="D2" s="104" t="s">
        <v>63</v>
      </c>
      <c r="E2" s="104" t="s">
        <v>64</v>
      </c>
      <c r="F2" s="104" t="s">
        <v>65</v>
      </c>
      <c r="G2" s="104" t="s">
        <v>66</v>
      </c>
      <c r="H2" s="104" t="s">
        <v>67</v>
      </c>
      <c r="I2" s="104" t="s">
        <v>68</v>
      </c>
      <c r="J2" s="104" t="s">
        <v>69</v>
      </c>
      <c r="K2" s="104" t="s">
        <v>70</v>
      </c>
      <c r="L2" s="104" t="s">
        <v>71</v>
      </c>
      <c r="M2" s="104" t="s">
        <v>72</v>
      </c>
      <c r="N2" s="105" t="s">
        <v>73</v>
      </c>
      <c r="O2" s="106" t="s">
        <v>74</v>
      </c>
    </row>
    <row r="3" spans="1:15" x14ac:dyDescent="0.25">
      <c r="A3" s="77" t="s">
        <v>75</v>
      </c>
      <c r="B3" s="103">
        <v>49.529999999999973</v>
      </c>
      <c r="C3" s="103">
        <v>48.729999999999961</v>
      </c>
      <c r="D3" s="103">
        <v>48.629999999999995</v>
      </c>
      <c r="E3" s="103">
        <v>49.029999999999973</v>
      </c>
      <c r="F3" s="103">
        <v>50.529999999999973</v>
      </c>
      <c r="G3" s="103">
        <v>52.029999999999973</v>
      </c>
      <c r="H3" s="103">
        <v>53.229999999999961</v>
      </c>
      <c r="I3" s="103">
        <v>54.03000000000003</v>
      </c>
      <c r="J3" s="103">
        <v>54.129999999999939</v>
      </c>
      <c r="K3" s="103">
        <v>53.430000000000007</v>
      </c>
      <c r="L3" s="103">
        <v>52.229999999999961</v>
      </c>
      <c r="M3" s="103">
        <v>50.829999999999984</v>
      </c>
      <c r="N3" s="107">
        <v>51.379589041095869</v>
      </c>
      <c r="O3" s="116">
        <v>51.364579838397091</v>
      </c>
    </row>
    <row r="4" spans="1:15" x14ac:dyDescent="0.25">
      <c r="A4" s="77" t="s">
        <v>76</v>
      </c>
      <c r="B4" s="103">
        <v>53.729999999999961</v>
      </c>
      <c r="C4" s="103">
        <v>52.329999999999984</v>
      </c>
      <c r="D4" s="103">
        <v>52.129999999999995</v>
      </c>
      <c r="E4" s="103">
        <v>52.829999999999984</v>
      </c>
      <c r="F4" s="103">
        <v>55.629999999999939</v>
      </c>
      <c r="G4" s="103">
        <v>58.430000000000007</v>
      </c>
      <c r="H4" s="103">
        <v>60.829999999999984</v>
      </c>
      <c r="I4" s="103">
        <v>62.329999999999984</v>
      </c>
      <c r="J4" s="103">
        <v>62.53000000000003</v>
      </c>
      <c r="K4" s="103">
        <v>61.229999999999961</v>
      </c>
      <c r="L4" s="103">
        <v>58.930000000000007</v>
      </c>
      <c r="M4" s="103">
        <v>56.229999999999961</v>
      </c>
      <c r="N4" s="107">
        <v>57.293835616438336</v>
      </c>
      <c r="O4" s="116">
        <v>57.240346585140493</v>
      </c>
    </row>
    <row r="5" spans="1:15" x14ac:dyDescent="0.25">
      <c r="A5" s="77" t="s">
        <v>77</v>
      </c>
      <c r="B5" s="103">
        <v>54.53000000000003</v>
      </c>
      <c r="C5" s="103">
        <v>53.430000000000007</v>
      </c>
      <c r="D5" s="103">
        <v>53.329999999999984</v>
      </c>
      <c r="E5" s="103">
        <v>53.829999999999984</v>
      </c>
      <c r="F5" s="103">
        <v>55.829999999999984</v>
      </c>
      <c r="G5" s="103">
        <v>57.829999999999984</v>
      </c>
      <c r="H5" s="103">
        <v>59.629999999999939</v>
      </c>
      <c r="I5" s="103">
        <v>60.729999999999961</v>
      </c>
      <c r="J5" s="103">
        <v>60.829999999999984</v>
      </c>
      <c r="K5" s="103">
        <v>59.930000000000007</v>
      </c>
      <c r="L5" s="103">
        <v>58.229999999999961</v>
      </c>
      <c r="M5" s="103">
        <v>56.229999999999961</v>
      </c>
      <c r="N5" s="107">
        <v>57.052465753424642</v>
      </c>
      <c r="O5" s="116">
        <v>57.025386970741906</v>
      </c>
    </row>
    <row r="6" spans="1:15" x14ac:dyDescent="0.25">
      <c r="A6" s="77" t="s">
        <v>78</v>
      </c>
      <c r="B6" s="103">
        <v>55.729999999999961</v>
      </c>
      <c r="C6" s="103">
        <v>54.129999999999939</v>
      </c>
      <c r="D6" s="103">
        <v>54.03000000000003</v>
      </c>
      <c r="E6" s="103">
        <v>54.829999999999984</v>
      </c>
      <c r="F6" s="103">
        <v>57.729999999999961</v>
      </c>
      <c r="G6" s="103">
        <v>60.729999999999961</v>
      </c>
      <c r="H6" s="103">
        <v>63.329999999999984</v>
      </c>
      <c r="I6" s="103">
        <v>64.930000000000007</v>
      </c>
      <c r="J6" s="103">
        <v>65.03000000000003</v>
      </c>
      <c r="K6" s="103">
        <v>63.729999999999961</v>
      </c>
      <c r="L6" s="103">
        <v>61.229999999999961</v>
      </c>
      <c r="M6" s="103">
        <v>58.329999999999984</v>
      </c>
      <c r="N6" s="107">
        <v>59.513287671232852</v>
      </c>
      <c r="O6" s="116">
        <v>59.446971323303444</v>
      </c>
    </row>
    <row r="7" spans="1:15" x14ac:dyDescent="0.25">
      <c r="A7" s="77" t="s">
        <v>79</v>
      </c>
      <c r="B7" s="103">
        <v>53.629999999999939</v>
      </c>
      <c r="C7" s="103">
        <v>52.729999999999961</v>
      </c>
      <c r="D7" s="103">
        <v>52.729999999999961</v>
      </c>
      <c r="E7" s="103">
        <v>53.129999999999939</v>
      </c>
      <c r="F7" s="103">
        <v>54.829999999999984</v>
      </c>
      <c r="G7" s="103">
        <v>56.53000000000003</v>
      </c>
      <c r="H7" s="103">
        <v>58.03000000000003</v>
      </c>
      <c r="I7" s="103">
        <v>58.930000000000007</v>
      </c>
      <c r="J7" s="103">
        <v>59.03000000000003</v>
      </c>
      <c r="K7" s="103">
        <v>58.229999999999961</v>
      </c>
      <c r="L7" s="103">
        <v>56.829999999999984</v>
      </c>
      <c r="M7" s="103">
        <v>55.129999999999939</v>
      </c>
      <c r="N7" s="107">
        <v>55.832465753424636</v>
      </c>
      <c r="O7" s="116">
        <v>55.811012205659971</v>
      </c>
    </row>
    <row r="8" spans="1:15" x14ac:dyDescent="0.25">
      <c r="A8" s="77" t="s">
        <v>80</v>
      </c>
      <c r="B8" s="103">
        <v>58.930000000000007</v>
      </c>
      <c r="C8" s="103">
        <v>57.829999999999984</v>
      </c>
      <c r="D8" s="103">
        <v>57.729999999999961</v>
      </c>
      <c r="E8" s="103">
        <v>58.229999999999961</v>
      </c>
      <c r="F8" s="103">
        <v>60.430000000000007</v>
      </c>
      <c r="G8" s="103">
        <v>62.629999999999939</v>
      </c>
      <c r="H8" s="103">
        <v>64.53000000000003</v>
      </c>
      <c r="I8" s="103">
        <v>65.729999999999961</v>
      </c>
      <c r="J8" s="103">
        <v>65.829999999999984</v>
      </c>
      <c r="K8" s="103">
        <v>64.930000000000007</v>
      </c>
      <c r="L8" s="103">
        <v>63.03000000000003</v>
      </c>
      <c r="M8" s="103">
        <v>60.930000000000007</v>
      </c>
      <c r="N8" s="107">
        <v>61.754383561643834</v>
      </c>
      <c r="O8" s="116">
        <v>61.68370554987515</v>
      </c>
    </row>
    <row r="9" spans="1:15" x14ac:dyDescent="0.25">
      <c r="A9" s="77" t="s">
        <v>81</v>
      </c>
      <c r="B9" s="103">
        <v>60.229999999999961</v>
      </c>
      <c r="C9" s="103">
        <v>59.329999999999984</v>
      </c>
      <c r="D9" s="103">
        <v>59.229999999999961</v>
      </c>
      <c r="E9" s="103">
        <v>59.729999999999961</v>
      </c>
      <c r="F9" s="103">
        <v>61.53000000000003</v>
      </c>
      <c r="G9" s="103">
        <v>63.229999999999961</v>
      </c>
      <c r="H9" s="103">
        <v>64.829999999999984</v>
      </c>
      <c r="I9" s="103">
        <v>65.829999999999984</v>
      </c>
      <c r="J9" s="103">
        <v>65.930000000000007</v>
      </c>
      <c r="K9" s="103">
        <v>65.129999999999939</v>
      </c>
      <c r="L9" s="103">
        <v>63.53000000000003</v>
      </c>
      <c r="M9" s="103">
        <v>61.829999999999984</v>
      </c>
      <c r="N9" s="107">
        <v>62.54999999999999</v>
      </c>
      <c r="O9" s="116">
        <v>62.501128205617022</v>
      </c>
    </row>
    <row r="10" spans="1:15" x14ac:dyDescent="0.25">
      <c r="A10" s="77" t="s">
        <v>82</v>
      </c>
      <c r="B10" s="103">
        <v>60.729999999999961</v>
      </c>
      <c r="C10" s="103">
        <v>59.53000000000003</v>
      </c>
      <c r="D10" s="103">
        <v>59.430000000000007</v>
      </c>
      <c r="E10" s="103">
        <v>59.930000000000007</v>
      </c>
      <c r="F10" s="103">
        <v>62.329999999999984</v>
      </c>
      <c r="G10" s="103">
        <v>64.729999999999961</v>
      </c>
      <c r="H10" s="103">
        <v>66.729999999999961</v>
      </c>
      <c r="I10" s="103">
        <v>68.03000000000003</v>
      </c>
      <c r="J10" s="103">
        <v>68.129999999999939</v>
      </c>
      <c r="K10" s="103">
        <v>67.03000000000003</v>
      </c>
      <c r="L10" s="103">
        <v>65.129999999999939</v>
      </c>
      <c r="M10" s="103">
        <v>62.829999999999984</v>
      </c>
      <c r="N10" s="107">
        <v>63.739315068493134</v>
      </c>
      <c r="O10" s="116">
        <v>63.651491960266462</v>
      </c>
    </row>
    <row r="11" spans="1:15" x14ac:dyDescent="0.25">
      <c r="A11" s="77" t="s">
        <v>83</v>
      </c>
      <c r="B11" s="103">
        <v>60.229999999999961</v>
      </c>
      <c r="C11" s="103">
        <v>58.729999999999961</v>
      </c>
      <c r="D11" s="103">
        <v>58.629999999999939</v>
      </c>
      <c r="E11" s="103">
        <v>59.329999999999984</v>
      </c>
      <c r="F11" s="103">
        <v>62.129999999999939</v>
      </c>
      <c r="G11" s="103">
        <v>64.930000000000007</v>
      </c>
      <c r="H11" s="103">
        <v>67.430000000000007</v>
      </c>
      <c r="I11" s="103">
        <v>68.930000000000007</v>
      </c>
      <c r="J11" s="103">
        <v>69.129999999999939</v>
      </c>
      <c r="K11" s="103">
        <v>67.829999999999984</v>
      </c>
      <c r="L11" s="103">
        <v>65.430000000000007</v>
      </c>
      <c r="M11" s="103">
        <v>62.729999999999961</v>
      </c>
      <c r="N11" s="107">
        <v>63.819863013698601</v>
      </c>
      <c r="O11" s="116">
        <v>63.692705330407165</v>
      </c>
    </row>
    <row r="12" spans="1:15" x14ac:dyDescent="0.25">
      <c r="A12" s="77" t="s">
        <v>84</v>
      </c>
      <c r="B12" s="103">
        <v>59.930000000000007</v>
      </c>
      <c r="C12" s="103">
        <v>58.229999999999961</v>
      </c>
      <c r="D12" s="103">
        <v>58.03000000000003</v>
      </c>
      <c r="E12" s="103">
        <v>58.930000000000007</v>
      </c>
      <c r="F12" s="103">
        <v>62.229999999999961</v>
      </c>
      <c r="G12" s="103">
        <v>65.53000000000003</v>
      </c>
      <c r="H12" s="103">
        <v>68.329999999999984</v>
      </c>
      <c r="I12" s="103">
        <v>70.129999999999939</v>
      </c>
      <c r="J12" s="103">
        <v>70.329999999999984</v>
      </c>
      <c r="K12" s="103">
        <v>68.829999999999984</v>
      </c>
      <c r="L12" s="103">
        <v>66.03000000000003</v>
      </c>
      <c r="M12" s="103">
        <v>62.829999999999984</v>
      </c>
      <c r="N12" s="107">
        <v>64.149726027397264</v>
      </c>
      <c r="O12" s="116">
        <v>63.973565204496744</v>
      </c>
    </row>
    <row r="13" spans="1:15" x14ac:dyDescent="0.25">
      <c r="A13" s="77" t="s">
        <v>85</v>
      </c>
      <c r="B13" s="103">
        <v>55.829999999999984</v>
      </c>
      <c r="C13" s="103">
        <v>52.829999999999984</v>
      </c>
      <c r="D13" s="103">
        <v>52.629999999999939</v>
      </c>
      <c r="E13" s="103">
        <v>54.03000000000003</v>
      </c>
      <c r="F13" s="103">
        <v>59.829999999999984</v>
      </c>
      <c r="G13" s="103">
        <v>65.53000000000003</v>
      </c>
      <c r="H13" s="103">
        <v>70.53000000000003</v>
      </c>
      <c r="I13" s="103">
        <v>73.629999999999939</v>
      </c>
      <c r="J13" s="103">
        <v>73.930000000000007</v>
      </c>
      <c r="K13" s="103">
        <v>71.329999999999984</v>
      </c>
      <c r="L13" s="103">
        <v>66.53000000000003</v>
      </c>
      <c r="M13" s="103">
        <v>60.930000000000007</v>
      </c>
      <c r="N13" s="107">
        <v>63.194109589041105</v>
      </c>
      <c r="O13" s="116">
        <v>62.668964059914224</v>
      </c>
    </row>
    <row r="14" spans="1:15" x14ac:dyDescent="0.25">
      <c r="A14" s="77" t="s">
        <v>86</v>
      </c>
      <c r="B14" s="103">
        <v>55.629999999999939</v>
      </c>
      <c r="C14" s="103">
        <v>53.53000000000003</v>
      </c>
      <c r="D14" s="103">
        <v>53.329999999999984</v>
      </c>
      <c r="E14" s="103">
        <v>54.329999999999984</v>
      </c>
      <c r="F14" s="103">
        <v>58.430000000000007</v>
      </c>
      <c r="G14" s="103">
        <v>62.53000000000003</v>
      </c>
      <c r="H14" s="103">
        <v>66.129999999999939</v>
      </c>
      <c r="I14" s="103">
        <v>68.329999999999984</v>
      </c>
      <c r="J14" s="103">
        <v>68.53000000000003</v>
      </c>
      <c r="K14" s="103">
        <v>66.729999999999961</v>
      </c>
      <c r="L14" s="103">
        <v>63.229999999999961</v>
      </c>
      <c r="M14" s="103">
        <v>59.329999999999984</v>
      </c>
      <c r="N14" s="107">
        <v>60.883972602739711</v>
      </c>
      <c r="O14" s="116">
        <v>60.642275665907654</v>
      </c>
    </row>
    <row r="15" spans="1:15" x14ac:dyDescent="0.25">
      <c r="A15" s="77" t="s">
        <v>87</v>
      </c>
      <c r="B15" s="103">
        <v>57.03000000000003</v>
      </c>
      <c r="C15" s="103">
        <v>54.03000000000003</v>
      </c>
      <c r="D15" s="103">
        <v>53.829999999999984</v>
      </c>
      <c r="E15" s="103">
        <v>55.229999999999961</v>
      </c>
      <c r="F15" s="103">
        <v>60.829999999999984</v>
      </c>
      <c r="G15" s="103">
        <v>66.329999999999984</v>
      </c>
      <c r="H15" s="103">
        <v>71.129999999999939</v>
      </c>
      <c r="I15" s="103">
        <v>74.229999999999961</v>
      </c>
      <c r="J15" s="103">
        <v>74.53000000000003</v>
      </c>
      <c r="K15" s="103">
        <v>72.03000000000003</v>
      </c>
      <c r="L15" s="103">
        <v>67.329999999999984</v>
      </c>
      <c r="M15" s="103">
        <v>61.930000000000007</v>
      </c>
      <c r="N15" s="107">
        <v>64.100684931506848</v>
      </c>
      <c r="O15" s="116">
        <v>63.590028903564424</v>
      </c>
    </row>
    <row r="16" spans="1:15" x14ac:dyDescent="0.25">
      <c r="A16" s="77" t="s">
        <v>88</v>
      </c>
      <c r="B16" s="103">
        <v>55.229999999999961</v>
      </c>
      <c r="C16" s="103">
        <v>52.229999999999961</v>
      </c>
      <c r="D16" s="103">
        <v>51.930000000000007</v>
      </c>
      <c r="E16" s="103">
        <v>53.430000000000007</v>
      </c>
      <c r="F16" s="103">
        <v>59.229999999999961</v>
      </c>
      <c r="G16" s="103">
        <v>65.03000000000003</v>
      </c>
      <c r="H16" s="103">
        <v>70.03000000000003</v>
      </c>
      <c r="I16" s="103">
        <v>73.229999999999961</v>
      </c>
      <c r="J16" s="103">
        <v>73.53000000000003</v>
      </c>
      <c r="K16" s="103">
        <v>70.930000000000007</v>
      </c>
      <c r="L16" s="103">
        <v>66.03000000000003</v>
      </c>
      <c r="M16" s="103">
        <v>60.430000000000007</v>
      </c>
      <c r="N16" s="107">
        <v>62.669452054794526</v>
      </c>
      <c r="O16" s="116">
        <v>62.143215667633648</v>
      </c>
    </row>
    <row r="17" spans="1:15" x14ac:dyDescent="0.25">
      <c r="A17" s="77" t="s">
        <v>89</v>
      </c>
      <c r="B17" s="103">
        <v>68.430000000000007</v>
      </c>
      <c r="C17" s="103">
        <v>65.53000000000003</v>
      </c>
      <c r="D17" s="103">
        <v>65.329999999999984</v>
      </c>
      <c r="E17" s="103">
        <v>66.629999999999939</v>
      </c>
      <c r="F17" s="103">
        <v>72.229999999999961</v>
      </c>
      <c r="G17" s="103">
        <v>77.729999999999961</v>
      </c>
      <c r="H17" s="103">
        <v>82.43</v>
      </c>
      <c r="I17" s="103">
        <v>85.53000000000003</v>
      </c>
      <c r="J17" s="103">
        <v>85.729999999999961</v>
      </c>
      <c r="K17" s="103">
        <v>83.329999999999984</v>
      </c>
      <c r="L17" s="103">
        <v>78.629999999999939</v>
      </c>
      <c r="M17" s="103">
        <v>73.329999999999984</v>
      </c>
      <c r="N17" s="107">
        <v>75.466712328767116</v>
      </c>
      <c r="O17" s="116">
        <v>74.623517944029075</v>
      </c>
    </row>
    <row r="18" spans="1:15" x14ac:dyDescent="0.3">
      <c r="A18" s="77" t="s">
        <v>90</v>
      </c>
      <c r="B18" s="103">
        <v>45.329999999999984</v>
      </c>
      <c r="C18" s="103">
        <v>42.729999999999961</v>
      </c>
      <c r="D18" s="103">
        <v>42.430000000000007</v>
      </c>
      <c r="E18" s="103">
        <v>43.729999999999961</v>
      </c>
      <c r="F18" s="103">
        <v>48.729999999999961</v>
      </c>
      <c r="G18" s="103">
        <v>53.829999999999984</v>
      </c>
      <c r="H18" s="103">
        <v>58.129999999999939</v>
      </c>
      <c r="I18" s="103">
        <v>60.930000000000007</v>
      </c>
      <c r="J18" s="103">
        <v>61.129999999999939</v>
      </c>
      <c r="K18" s="103">
        <v>58.930000000000007</v>
      </c>
      <c r="L18" s="103">
        <v>54.629999999999939</v>
      </c>
      <c r="M18" s="103">
        <v>49.829999999999984</v>
      </c>
      <c r="N18" s="107">
        <v>51.75246575342463</v>
      </c>
      <c r="O18" s="116">
        <v>51.484403512280998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L45"/>
  <sheetViews>
    <sheetView topLeftCell="A25" zoomScaleNormal="100" zoomScaleSheetLayoutView="85" workbookViewId="0">
      <selection activeCell="H23" sqref="H23"/>
    </sheetView>
  </sheetViews>
  <sheetFormatPr defaultColWidth="9.109375" defaultRowHeight="13.2" x14ac:dyDescent="0.25"/>
  <cols>
    <col min="1" max="1" width="19" style="173" customWidth="1"/>
    <col min="2" max="2" width="22.6640625" style="173" customWidth="1"/>
    <col min="3" max="4" width="13.33203125" style="173" customWidth="1"/>
    <col min="5" max="5" width="14.5546875" style="173" bestFit="1" customWidth="1"/>
    <col min="6" max="7" width="13.33203125" style="173" customWidth="1"/>
    <col min="8" max="8" width="15.33203125" style="173" bestFit="1" customWidth="1"/>
    <col min="9" max="9" width="14.88671875" style="199" customWidth="1"/>
    <col min="10" max="10" width="9.109375" style="173"/>
    <col min="11" max="11" width="12" style="173" customWidth="1"/>
    <col min="12" max="12" width="13.109375" style="173" customWidth="1"/>
    <col min="13" max="16384" width="9.109375" style="173"/>
  </cols>
  <sheetData>
    <row r="1" spans="1:12" ht="15.75" x14ac:dyDescent="0.25">
      <c r="A1" s="167" t="s">
        <v>117</v>
      </c>
      <c r="B1" s="168" t="s">
        <v>118</v>
      </c>
      <c r="C1" s="169" t="s">
        <v>119</v>
      </c>
      <c r="D1" s="169" t="s">
        <v>120</v>
      </c>
      <c r="E1" s="170" t="s">
        <v>3</v>
      </c>
      <c r="F1" s="169" t="s">
        <v>121</v>
      </c>
      <c r="G1" s="169" t="s">
        <v>122</v>
      </c>
      <c r="H1" s="170" t="s">
        <v>6</v>
      </c>
      <c r="I1" s="169"/>
      <c r="J1" s="169"/>
      <c r="K1" s="171" t="s">
        <v>123</v>
      </c>
      <c r="L1" s="172"/>
    </row>
    <row r="2" spans="1:12" ht="12.75" x14ac:dyDescent="0.2">
      <c r="A2" s="174"/>
      <c r="B2" s="175" t="s">
        <v>124</v>
      </c>
      <c r="C2" s="176">
        <v>2.5</v>
      </c>
      <c r="D2" s="176">
        <v>2.25</v>
      </c>
      <c r="E2" s="177">
        <v>2.25</v>
      </c>
      <c r="F2" s="176">
        <v>2.5</v>
      </c>
      <c r="G2" s="176">
        <v>2.25</v>
      </c>
      <c r="H2" s="177">
        <v>2.25</v>
      </c>
      <c r="I2" s="178" t="s">
        <v>125</v>
      </c>
      <c r="J2" s="179"/>
      <c r="K2" s="178" t="s">
        <v>126</v>
      </c>
      <c r="L2" s="180"/>
    </row>
    <row r="3" spans="1:12" ht="12.75" x14ac:dyDescent="0.2">
      <c r="A3" s="174"/>
      <c r="B3" s="175" t="s">
        <v>127</v>
      </c>
      <c r="C3" s="181">
        <v>7.4</v>
      </c>
      <c r="D3" s="181">
        <v>7.4</v>
      </c>
      <c r="E3" s="182">
        <v>7.4</v>
      </c>
      <c r="F3" s="181">
        <v>7.4</v>
      </c>
      <c r="G3" s="181">
        <v>7.4</v>
      </c>
      <c r="H3" s="182">
        <v>7.4</v>
      </c>
      <c r="I3" s="178" t="s">
        <v>128</v>
      </c>
      <c r="J3" s="179"/>
      <c r="K3" s="178"/>
      <c r="L3" s="180"/>
    </row>
    <row r="4" spans="1:12" ht="12.75" x14ac:dyDescent="0.2">
      <c r="A4" s="174"/>
      <c r="B4" s="175" t="s">
        <v>129</v>
      </c>
      <c r="C4" s="181">
        <v>2.79</v>
      </c>
      <c r="D4" s="181">
        <v>2.79</v>
      </c>
      <c r="E4" s="182">
        <v>2.79</v>
      </c>
      <c r="F4" s="181">
        <v>2.2200000000000002</v>
      </c>
      <c r="G4" s="181">
        <v>2.2200000000000002</v>
      </c>
      <c r="H4" s="182">
        <v>2.2200000000000002</v>
      </c>
      <c r="I4" s="178" t="s">
        <v>130</v>
      </c>
      <c r="J4" s="179"/>
      <c r="K4" s="183" t="s">
        <v>131</v>
      </c>
      <c r="L4" s="184">
        <v>65</v>
      </c>
    </row>
    <row r="5" spans="1:12" ht="12.75" x14ac:dyDescent="0.2">
      <c r="A5" s="174"/>
      <c r="B5" s="175" t="s">
        <v>132</v>
      </c>
      <c r="C5" s="181">
        <v>0.9</v>
      </c>
      <c r="D5" s="181">
        <v>0.9</v>
      </c>
      <c r="E5" s="182">
        <v>0.9</v>
      </c>
      <c r="F5" s="181">
        <v>0.9</v>
      </c>
      <c r="G5" s="181">
        <v>0.9</v>
      </c>
      <c r="H5" s="182">
        <v>0.9</v>
      </c>
      <c r="I5" s="178" t="s">
        <v>133</v>
      </c>
      <c r="J5" s="179"/>
      <c r="K5" s="183" t="s">
        <v>134</v>
      </c>
      <c r="L5" s="184">
        <v>106</v>
      </c>
    </row>
    <row r="6" spans="1:12" ht="12.75" x14ac:dyDescent="0.2">
      <c r="A6" s="174"/>
      <c r="B6" s="175" t="s">
        <v>135</v>
      </c>
      <c r="C6" s="181">
        <v>365</v>
      </c>
      <c r="D6" s="181">
        <v>365</v>
      </c>
      <c r="E6" s="182">
        <v>365</v>
      </c>
      <c r="F6" s="181">
        <v>365</v>
      </c>
      <c r="G6" s="181">
        <v>365</v>
      </c>
      <c r="H6" s="182">
        <v>365</v>
      </c>
      <c r="I6" s="178" t="s">
        <v>135</v>
      </c>
      <c r="J6" s="179"/>
      <c r="K6" s="183" t="s">
        <v>136</v>
      </c>
      <c r="L6" s="184">
        <v>130</v>
      </c>
    </row>
    <row r="7" spans="1:12" ht="12.75" x14ac:dyDescent="0.2">
      <c r="A7" s="174"/>
      <c r="B7" s="175" t="s">
        <v>137</v>
      </c>
      <c r="C7" s="176">
        <v>2.0099999999999998</v>
      </c>
      <c r="D7" s="176">
        <v>2.0099999999999998</v>
      </c>
      <c r="E7" s="177">
        <v>2.0099999999999998</v>
      </c>
      <c r="F7" s="176">
        <v>1.5</v>
      </c>
      <c r="G7" s="176">
        <v>1.5</v>
      </c>
      <c r="H7" s="177">
        <v>1.5</v>
      </c>
      <c r="I7" s="178" t="s">
        <v>138</v>
      </c>
      <c r="J7" s="179"/>
      <c r="K7" s="183"/>
      <c r="L7" s="180"/>
    </row>
    <row r="8" spans="1:12" ht="12.75" x14ac:dyDescent="0.2">
      <c r="A8" s="174"/>
      <c r="B8" s="185" t="s">
        <v>139</v>
      </c>
      <c r="C8" s="186">
        <f>C2*C3*C4*C5/C7*C6</f>
        <v>8435.5858208955233</v>
      </c>
      <c r="D8" s="186">
        <f>D2*D3*D4*D5/D7*D6</f>
        <v>7592.027238805972</v>
      </c>
      <c r="E8" s="187">
        <f>E9*365/E7</f>
        <v>5086.3930348258709</v>
      </c>
      <c r="F8" s="186">
        <f>F2*F3*F4*F5/F7*F6</f>
        <v>8994.33</v>
      </c>
      <c r="G8" s="186">
        <f>G2*G3*G4*G5/G7*G6</f>
        <v>8094.8970000000018</v>
      </c>
      <c r="H8" s="187">
        <f>H9*365/H7</f>
        <v>5679.4000000000005</v>
      </c>
      <c r="I8" s="178" t="s">
        <v>140</v>
      </c>
      <c r="J8" s="179"/>
      <c r="K8" s="178"/>
      <c r="L8" s="180"/>
    </row>
    <row r="9" spans="1:12" ht="12.75" x14ac:dyDescent="0.2">
      <c r="A9" s="174"/>
      <c r="B9" s="188" t="s">
        <v>141</v>
      </c>
      <c r="C9" s="189">
        <f>C8/365*C7</f>
        <v>46.453499999999998</v>
      </c>
      <c r="D9" s="189">
        <f>D8/365*D7</f>
        <v>41.808150000000005</v>
      </c>
      <c r="E9" s="190">
        <v>28.009999999999998</v>
      </c>
      <c r="F9" s="189">
        <f>F8/365*F7</f>
        <v>36.963000000000001</v>
      </c>
      <c r="G9" s="189">
        <f>G8/365*G7</f>
        <v>33.266700000000007</v>
      </c>
      <c r="H9" s="190">
        <v>23.34</v>
      </c>
      <c r="I9" s="191" t="s">
        <v>142</v>
      </c>
      <c r="J9" s="191"/>
      <c r="K9" s="178"/>
      <c r="L9" s="180"/>
    </row>
    <row r="10" spans="1:12" ht="12.75" x14ac:dyDescent="0.2">
      <c r="A10" s="174"/>
      <c r="B10" s="188" t="s">
        <v>143</v>
      </c>
      <c r="C10" s="192">
        <f t="shared" ref="C10:H10" si="0">C9*0.63</f>
        <v>29.265705000000001</v>
      </c>
      <c r="D10" s="192">
        <f t="shared" si="0"/>
        <v>26.339134500000004</v>
      </c>
      <c r="E10" s="192">
        <f t="shared" si="0"/>
        <v>17.6463</v>
      </c>
      <c r="F10" s="192">
        <f t="shared" si="0"/>
        <v>23.28669</v>
      </c>
      <c r="G10" s="192">
        <f t="shared" si="0"/>
        <v>20.958021000000006</v>
      </c>
      <c r="H10" s="192">
        <f t="shared" si="0"/>
        <v>14.7042</v>
      </c>
      <c r="I10" s="179"/>
      <c r="J10" s="179"/>
      <c r="K10" s="178"/>
      <c r="L10" s="180"/>
    </row>
    <row r="11" spans="1:12" ht="12.75" x14ac:dyDescent="0.2">
      <c r="A11" s="174"/>
      <c r="B11" s="179"/>
      <c r="C11" s="189"/>
      <c r="D11" s="189"/>
      <c r="E11" s="189"/>
      <c r="F11" s="189"/>
      <c r="G11" s="179"/>
      <c r="H11" s="179"/>
      <c r="I11" s="178"/>
      <c r="J11" s="179"/>
      <c r="K11" s="179"/>
      <c r="L11" s="180"/>
    </row>
    <row r="12" spans="1:12" ht="15.75" x14ac:dyDescent="0.25">
      <c r="A12" s="174"/>
      <c r="B12" s="193" t="s">
        <v>144</v>
      </c>
      <c r="C12" s="179" t="s">
        <v>31</v>
      </c>
      <c r="D12" s="179" t="s">
        <v>32</v>
      </c>
      <c r="E12" s="194" t="s">
        <v>33</v>
      </c>
      <c r="F12" s="179" t="s">
        <v>37</v>
      </c>
      <c r="G12" s="179" t="s">
        <v>91</v>
      </c>
      <c r="H12" s="179" t="s">
        <v>92</v>
      </c>
      <c r="I12" s="194" t="s">
        <v>93</v>
      </c>
      <c r="J12" s="179" t="s">
        <v>94</v>
      </c>
      <c r="K12" s="178"/>
      <c r="L12" s="180"/>
    </row>
    <row r="13" spans="1:12" ht="12.75" x14ac:dyDescent="0.2">
      <c r="A13" s="174"/>
      <c r="B13" s="175" t="s">
        <v>145</v>
      </c>
      <c r="C13" s="181">
        <v>1.5</v>
      </c>
      <c r="D13" s="181">
        <v>1.6</v>
      </c>
      <c r="E13" s="182">
        <v>1.6</v>
      </c>
      <c r="F13" s="181">
        <v>1.7</v>
      </c>
      <c r="G13" s="181">
        <v>1.5</v>
      </c>
      <c r="H13" s="181">
        <v>1.6</v>
      </c>
      <c r="I13" s="182">
        <v>1.6</v>
      </c>
      <c r="J13" s="181">
        <v>1.7</v>
      </c>
      <c r="K13" s="178" t="s">
        <v>125</v>
      </c>
      <c r="L13" s="180"/>
    </row>
    <row r="14" spans="1:12" ht="12.75" x14ac:dyDescent="0.2">
      <c r="A14" s="174"/>
      <c r="B14" s="175" t="s">
        <v>127</v>
      </c>
      <c r="C14" s="181">
        <v>7.4</v>
      </c>
      <c r="D14" s="181">
        <v>7.4</v>
      </c>
      <c r="E14" s="182">
        <v>7.4</v>
      </c>
      <c r="F14" s="181">
        <v>7.4</v>
      </c>
      <c r="G14" s="181">
        <v>7.4</v>
      </c>
      <c r="H14" s="181">
        <v>7.4</v>
      </c>
      <c r="I14" s="182">
        <v>7.4</v>
      </c>
      <c r="J14" s="181">
        <v>7.4</v>
      </c>
      <c r="K14" s="178" t="s">
        <v>128</v>
      </c>
      <c r="L14" s="180"/>
    </row>
    <row r="15" spans="1:12" ht="12.75" x14ac:dyDescent="0.2">
      <c r="A15" s="174"/>
      <c r="B15" s="175" t="s">
        <v>129</v>
      </c>
      <c r="C15" s="181">
        <v>2.79</v>
      </c>
      <c r="D15" s="181">
        <v>2.79</v>
      </c>
      <c r="E15" s="182">
        <v>2.79</v>
      </c>
      <c r="F15" s="181">
        <v>2.79</v>
      </c>
      <c r="G15" s="181">
        <v>2.2200000000000002</v>
      </c>
      <c r="H15" s="181">
        <v>2.2200000000000002</v>
      </c>
      <c r="I15" s="182">
        <v>2.2200000000000002</v>
      </c>
      <c r="J15" s="181">
        <v>2.2200000000000002</v>
      </c>
      <c r="K15" s="178" t="s">
        <v>130</v>
      </c>
      <c r="L15" s="180"/>
    </row>
    <row r="16" spans="1:12" ht="12.75" x14ac:dyDescent="0.2">
      <c r="A16" s="174"/>
      <c r="B16" s="175" t="s">
        <v>132</v>
      </c>
      <c r="C16" s="181">
        <v>0.9</v>
      </c>
      <c r="D16" s="181">
        <v>0.9</v>
      </c>
      <c r="E16" s="182">
        <v>0.9</v>
      </c>
      <c r="F16" s="181">
        <v>0.9</v>
      </c>
      <c r="G16" s="181">
        <v>0.9</v>
      </c>
      <c r="H16" s="181">
        <v>0.9</v>
      </c>
      <c r="I16" s="182">
        <v>0.9</v>
      </c>
      <c r="J16" s="181">
        <v>0.9</v>
      </c>
      <c r="K16" s="178" t="s">
        <v>133</v>
      </c>
      <c r="L16" s="180"/>
    </row>
    <row r="17" spans="1:12" ht="12.75" x14ac:dyDescent="0.2">
      <c r="A17" s="174"/>
      <c r="B17" s="175" t="s">
        <v>135</v>
      </c>
      <c r="C17" s="181">
        <v>365</v>
      </c>
      <c r="D17" s="181">
        <v>365</v>
      </c>
      <c r="E17" s="182">
        <v>365</v>
      </c>
      <c r="F17" s="181">
        <v>365</v>
      </c>
      <c r="G17" s="181">
        <v>365</v>
      </c>
      <c r="H17" s="181">
        <v>365</v>
      </c>
      <c r="I17" s="182">
        <v>365</v>
      </c>
      <c r="J17" s="181">
        <v>365</v>
      </c>
      <c r="K17" s="178" t="s">
        <v>135</v>
      </c>
      <c r="L17" s="180"/>
    </row>
    <row r="18" spans="1:12" ht="12.75" x14ac:dyDescent="0.2">
      <c r="A18" s="174"/>
      <c r="B18" s="175" t="s">
        <v>137</v>
      </c>
      <c r="C18" s="176">
        <v>2.0099999999999998</v>
      </c>
      <c r="D18" s="176">
        <v>2.0099999999999998</v>
      </c>
      <c r="E18" s="177">
        <v>2.0099999999999998</v>
      </c>
      <c r="F18" s="176">
        <v>2.0099999999999998</v>
      </c>
      <c r="G18" s="176">
        <v>1.5</v>
      </c>
      <c r="H18" s="176">
        <v>1.5</v>
      </c>
      <c r="I18" s="177">
        <v>1.5</v>
      </c>
      <c r="J18" s="176">
        <v>1.5</v>
      </c>
      <c r="K18" s="178" t="s">
        <v>138</v>
      </c>
      <c r="L18" s="180"/>
    </row>
    <row r="19" spans="1:12" ht="12.75" x14ac:dyDescent="0.2">
      <c r="A19" s="174"/>
      <c r="B19" s="185" t="s">
        <v>146</v>
      </c>
      <c r="C19" s="187">
        <f>E19*1.5/1.6</f>
        <v>3390.9286898839136</v>
      </c>
      <c r="D19" s="186">
        <f t="shared" ref="D19" si="1">D13*D14*D15*D16/D18*D17</f>
        <v>5398.7749253731363</v>
      </c>
      <c r="E19" s="187">
        <f>E20*365/E18</f>
        <v>3616.9906025428418</v>
      </c>
      <c r="F19" s="187">
        <f>E19*1.7/1.6</f>
        <v>3843.052515201769</v>
      </c>
      <c r="G19" s="187">
        <f>I19*1.5/1.6</f>
        <v>3786.2666666666678</v>
      </c>
      <c r="H19" s="186">
        <f t="shared" ref="H19" si="2">H13*H14*H15*H16/H18*H17</f>
        <v>5756.3712000000023</v>
      </c>
      <c r="I19" s="187">
        <f>I20*365/I18</f>
        <v>4038.6844444444455</v>
      </c>
      <c r="J19" s="187">
        <f>I19*1.7/1.6</f>
        <v>4291.1022222222227</v>
      </c>
      <c r="K19" s="178" t="s">
        <v>140</v>
      </c>
      <c r="L19" s="180"/>
    </row>
    <row r="20" spans="1:12" ht="12.75" x14ac:dyDescent="0.2">
      <c r="A20" s="174"/>
      <c r="B20" s="188" t="s">
        <v>141</v>
      </c>
      <c r="C20" s="189">
        <f t="shared" ref="C20:J20" si="3">C19/365*C18</f>
        <v>18.673333333333328</v>
      </c>
      <c r="D20" s="189">
        <f t="shared" si="3"/>
        <v>29.730240000000006</v>
      </c>
      <c r="E20" s="190">
        <f>D20*E9/D9</f>
        <v>19.918222222222223</v>
      </c>
      <c r="F20" s="189">
        <f t="shared" si="3"/>
        <v>21.16311111111111</v>
      </c>
      <c r="G20" s="189">
        <f t="shared" si="3"/>
        <v>15.560000000000006</v>
      </c>
      <c r="H20" s="189">
        <f t="shared" si="3"/>
        <v>23.656320000000012</v>
      </c>
      <c r="I20" s="190">
        <f>H20*H9/G9</f>
        <v>16.597333333333339</v>
      </c>
      <c r="J20" s="189">
        <f t="shared" si="3"/>
        <v>17.634666666666668</v>
      </c>
      <c r="K20" s="189" t="s">
        <v>147</v>
      </c>
      <c r="L20" s="180"/>
    </row>
    <row r="21" spans="1:12" ht="12.75" x14ac:dyDescent="0.2">
      <c r="A21" s="174"/>
      <c r="B21" s="188" t="s">
        <v>143</v>
      </c>
      <c r="C21" s="189">
        <f t="shared" ref="C21:J21" si="4">C20*0.63</f>
        <v>11.764199999999997</v>
      </c>
      <c r="D21" s="189">
        <f t="shared" si="4"/>
        <v>18.730051200000002</v>
      </c>
      <c r="E21" s="189">
        <f t="shared" si="4"/>
        <v>12.548480000000001</v>
      </c>
      <c r="F21" s="189">
        <f t="shared" si="4"/>
        <v>13.33276</v>
      </c>
      <c r="G21" s="189">
        <f t="shared" si="4"/>
        <v>9.8028000000000031</v>
      </c>
      <c r="H21" s="189">
        <f t="shared" si="4"/>
        <v>14.903481600000008</v>
      </c>
      <c r="I21" s="189">
        <f t="shared" si="4"/>
        <v>10.456320000000003</v>
      </c>
      <c r="J21" s="189">
        <f t="shared" si="4"/>
        <v>11.10984</v>
      </c>
      <c r="K21" s="178"/>
      <c r="L21" s="180"/>
    </row>
    <row r="22" spans="1:12" ht="12.75" x14ac:dyDescent="0.2">
      <c r="A22" s="178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</row>
    <row r="23" spans="1:12" ht="13.5" thickBot="1" x14ac:dyDescent="0.25">
      <c r="A23" s="178"/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80"/>
    </row>
    <row r="24" spans="1:12" ht="15" x14ac:dyDescent="0.2">
      <c r="A24" s="178"/>
      <c r="B24" s="178"/>
      <c r="C24" s="201" t="s">
        <v>116</v>
      </c>
      <c r="D24" s="202"/>
      <c r="E24" s="202"/>
      <c r="F24" s="202"/>
      <c r="G24" s="203"/>
      <c r="H24" s="178"/>
      <c r="I24" s="178"/>
      <c r="J24" s="178"/>
      <c r="K24" s="178"/>
      <c r="L24" s="180"/>
    </row>
    <row r="25" spans="1:12" ht="30" x14ac:dyDescent="0.25">
      <c r="A25" s="178"/>
      <c r="B25" s="178"/>
      <c r="C25" s="149" t="s">
        <v>105</v>
      </c>
      <c r="D25" s="133" t="s">
        <v>108</v>
      </c>
      <c r="E25" s="133" t="s">
        <v>109</v>
      </c>
      <c r="F25" s="128" t="s">
        <v>110</v>
      </c>
      <c r="G25" s="150" t="s">
        <v>111</v>
      </c>
      <c r="H25" s="178"/>
      <c r="I25" s="178"/>
      <c r="J25" s="178"/>
      <c r="K25" s="178"/>
      <c r="L25" s="180"/>
    </row>
    <row r="26" spans="1:12" ht="14.4" x14ac:dyDescent="0.3">
      <c r="A26" s="178"/>
      <c r="B26" s="178"/>
      <c r="C26" s="151">
        <v>2.5</v>
      </c>
      <c r="D26" s="136">
        <f>F26/$E$17*$E$18</f>
        <v>31.122222222222224</v>
      </c>
      <c r="E26" s="136">
        <f>G26/$I$17*$I$18</f>
        <v>25.933333333333337</v>
      </c>
      <c r="F26" s="135">
        <f t="shared" ref="F26:F34" si="5">$E$19*C26/$E$13</f>
        <v>5651.5478164731903</v>
      </c>
      <c r="G26" s="152">
        <f t="shared" ref="G26:G34" si="6">$I$19*C26/$I$13</f>
        <v>6310.4444444444453</v>
      </c>
      <c r="H26" s="178"/>
      <c r="I26" s="178"/>
      <c r="J26" s="178"/>
      <c r="K26" s="178"/>
      <c r="L26" s="180"/>
    </row>
    <row r="27" spans="1:12" ht="14.4" x14ac:dyDescent="0.3">
      <c r="A27" s="178"/>
      <c r="B27" s="178"/>
      <c r="C27" s="151">
        <v>2.25</v>
      </c>
      <c r="D27" s="136">
        <f t="shared" ref="D27:D34" si="7">F27/$E$17*$E$18</f>
        <v>28.009999999999998</v>
      </c>
      <c r="E27" s="136">
        <f t="shared" ref="E27:E34" si="8">G27/$I$17*$I$18</f>
        <v>23.340000000000007</v>
      </c>
      <c r="F27" s="135">
        <f t="shared" si="5"/>
        <v>5086.3930348258709</v>
      </c>
      <c r="G27" s="152">
        <f t="shared" si="6"/>
        <v>5679.4000000000015</v>
      </c>
      <c r="H27" s="178"/>
      <c r="I27" s="178"/>
      <c r="J27" s="178"/>
      <c r="K27" s="178"/>
      <c r="L27" s="180"/>
    </row>
    <row r="28" spans="1:12" ht="14.4" x14ac:dyDescent="0.3">
      <c r="A28" s="178"/>
      <c r="B28" s="178"/>
      <c r="C28" s="151">
        <v>2</v>
      </c>
      <c r="D28" s="136">
        <f t="shared" si="7"/>
        <v>24.897777777777776</v>
      </c>
      <c r="E28" s="136">
        <f t="shared" si="8"/>
        <v>20.746666666666673</v>
      </c>
      <c r="F28" s="135">
        <f t="shared" si="5"/>
        <v>4521.2382531785515</v>
      </c>
      <c r="G28" s="152">
        <f t="shared" si="6"/>
        <v>5048.3555555555567</v>
      </c>
      <c r="H28" s="178"/>
      <c r="I28" s="178"/>
      <c r="J28" s="178"/>
      <c r="K28" s="178"/>
      <c r="L28" s="180"/>
    </row>
    <row r="29" spans="1:12" ht="14.4" x14ac:dyDescent="0.3">
      <c r="A29" s="178"/>
      <c r="B29" s="178"/>
      <c r="C29" s="151">
        <v>1.8</v>
      </c>
      <c r="D29" s="136">
        <f t="shared" si="7"/>
        <v>22.407999999999998</v>
      </c>
      <c r="E29" s="136">
        <f t="shared" si="8"/>
        <v>18.672000000000004</v>
      </c>
      <c r="F29" s="135">
        <f t="shared" si="5"/>
        <v>4069.1144278606967</v>
      </c>
      <c r="G29" s="152">
        <f t="shared" si="6"/>
        <v>4543.5200000000013</v>
      </c>
      <c r="H29" s="178"/>
      <c r="I29" s="178"/>
      <c r="J29" s="178"/>
      <c r="K29" s="178"/>
      <c r="L29" s="180"/>
    </row>
    <row r="30" spans="1:12" ht="14.4" x14ac:dyDescent="0.3">
      <c r="A30" s="178"/>
      <c r="B30" s="178"/>
      <c r="C30" s="151">
        <v>1.7</v>
      </c>
      <c r="D30" s="136">
        <f t="shared" si="7"/>
        <v>21.16311111111111</v>
      </c>
      <c r="E30" s="136">
        <f t="shared" si="8"/>
        <v>17.634666666666668</v>
      </c>
      <c r="F30" s="135">
        <f t="shared" si="5"/>
        <v>3843.052515201769</v>
      </c>
      <c r="G30" s="152">
        <f t="shared" si="6"/>
        <v>4291.1022222222227</v>
      </c>
      <c r="H30" s="178"/>
      <c r="I30" s="178"/>
      <c r="J30" s="178"/>
      <c r="K30" s="178"/>
      <c r="L30" s="180"/>
    </row>
    <row r="31" spans="1:12" ht="14.4" x14ac:dyDescent="0.3">
      <c r="A31" s="178"/>
      <c r="B31" s="178"/>
      <c r="C31" s="151">
        <v>1.6</v>
      </c>
      <c r="D31" s="136">
        <f t="shared" si="7"/>
        <v>19.918222222222223</v>
      </c>
      <c r="E31" s="136">
        <f t="shared" si="8"/>
        <v>16.597333333333339</v>
      </c>
      <c r="F31" s="135">
        <f t="shared" si="5"/>
        <v>3616.9906025428418</v>
      </c>
      <c r="G31" s="152">
        <f t="shared" si="6"/>
        <v>4038.6844444444455</v>
      </c>
      <c r="H31" s="178"/>
      <c r="I31" s="178"/>
      <c r="J31" s="178"/>
      <c r="K31" s="178"/>
      <c r="L31" s="180"/>
    </row>
    <row r="32" spans="1:12" ht="14.4" x14ac:dyDescent="0.3">
      <c r="A32" s="178"/>
      <c r="B32" s="178"/>
      <c r="C32" s="151">
        <v>1.5</v>
      </c>
      <c r="D32" s="136">
        <f t="shared" si="7"/>
        <v>18.673333333333328</v>
      </c>
      <c r="E32" s="136">
        <f t="shared" si="8"/>
        <v>15.560000000000006</v>
      </c>
      <c r="F32" s="135">
        <f>$E$19*C32/$E$13</f>
        <v>3390.9286898839136</v>
      </c>
      <c r="G32" s="152">
        <f>$I$19*C32/$I$13</f>
        <v>3786.2666666666678</v>
      </c>
      <c r="H32" s="178"/>
      <c r="I32" s="178"/>
      <c r="J32" s="178"/>
      <c r="K32" s="178"/>
      <c r="L32" s="180"/>
    </row>
    <row r="33" spans="1:12" ht="14.4" x14ac:dyDescent="0.3">
      <c r="A33" s="178"/>
      <c r="B33" s="178"/>
      <c r="C33" s="151">
        <v>1.25</v>
      </c>
      <c r="D33" s="136">
        <f t="shared" si="7"/>
        <v>15.561111111111112</v>
      </c>
      <c r="E33" s="136">
        <f t="shared" si="8"/>
        <v>12.966666666666669</v>
      </c>
      <c r="F33" s="135">
        <f t="shared" si="5"/>
        <v>2825.7739082365952</v>
      </c>
      <c r="G33" s="152">
        <f t="shared" si="6"/>
        <v>3155.2222222222226</v>
      </c>
      <c r="H33" s="178"/>
      <c r="I33" s="178"/>
      <c r="J33" s="178"/>
      <c r="K33" s="178"/>
      <c r="L33" s="180"/>
    </row>
    <row r="34" spans="1:12" ht="15" thickBot="1" x14ac:dyDescent="0.35">
      <c r="A34" s="178"/>
      <c r="B34" s="178"/>
      <c r="C34" s="153">
        <v>1</v>
      </c>
      <c r="D34" s="154">
        <f t="shared" si="7"/>
        <v>12.448888888888888</v>
      </c>
      <c r="E34" s="154">
        <f t="shared" si="8"/>
        <v>10.373333333333337</v>
      </c>
      <c r="F34" s="155">
        <f t="shared" si="5"/>
        <v>2260.6191265892758</v>
      </c>
      <c r="G34" s="156">
        <f t="shared" si="6"/>
        <v>2524.1777777777784</v>
      </c>
      <c r="H34" s="178"/>
      <c r="I34" s="178"/>
      <c r="J34" s="178"/>
      <c r="K34" s="178"/>
      <c r="L34" s="180"/>
    </row>
    <row r="35" spans="1:12" x14ac:dyDescent="0.25">
      <c r="A35" s="178"/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80"/>
    </row>
    <row r="36" spans="1:12" x14ac:dyDescent="0.25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80"/>
    </row>
    <row r="37" spans="1:12" x14ac:dyDescent="0.25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80"/>
    </row>
    <row r="38" spans="1:12" x14ac:dyDescent="0.25">
      <c r="A38" s="178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80"/>
    </row>
    <row r="39" spans="1:12" x14ac:dyDescent="0.25">
      <c r="A39" s="178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80"/>
    </row>
    <row r="40" spans="1:12" x14ac:dyDescent="0.25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80"/>
    </row>
    <row r="41" spans="1:12" x14ac:dyDescent="0.25">
      <c r="A41" s="178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80"/>
    </row>
    <row r="42" spans="1:12" x14ac:dyDescent="0.25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80"/>
    </row>
    <row r="43" spans="1:12" x14ac:dyDescent="0.25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80"/>
    </row>
    <row r="44" spans="1:12" x14ac:dyDescent="0.25">
      <c r="A44" s="174"/>
      <c r="B44" s="189"/>
      <c r="C44" s="189"/>
      <c r="D44" s="189"/>
      <c r="E44" s="189"/>
      <c r="F44" s="189"/>
      <c r="G44" s="189"/>
      <c r="H44" s="189"/>
      <c r="I44" s="178"/>
      <c r="J44" s="179"/>
      <c r="K44" s="178"/>
      <c r="L44" s="180"/>
    </row>
    <row r="45" spans="1:12" ht="13.8" thickBot="1" x14ac:dyDescent="0.3">
      <c r="A45" s="195"/>
      <c r="B45" s="196"/>
      <c r="C45" s="196"/>
      <c r="D45" s="196"/>
      <c r="E45" s="196"/>
      <c r="F45" s="196"/>
      <c r="G45" s="196"/>
      <c r="H45" s="196"/>
      <c r="I45" s="196"/>
      <c r="J45" s="196"/>
      <c r="K45" s="197"/>
      <c r="L45" s="198"/>
    </row>
  </sheetData>
  <mergeCells count="1">
    <mergeCell ref="C24:G24"/>
  </mergeCells>
  <pageMargins left="0.75" right="0.75" top="1" bottom="1" header="0.5" footer="0.5"/>
  <pageSetup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2.5 GPM (Obsolete)</vt:lpstr>
      <vt:lpstr>RET therm saving</vt:lpstr>
      <vt:lpstr>NEW ROB 2.0 GPM BL Therm Saving</vt:lpstr>
      <vt:lpstr>1.8 GPM BL Therm Saving</vt:lpstr>
      <vt:lpstr>SF Weather Data</vt:lpstr>
      <vt:lpstr>MF Weather Data</vt:lpstr>
      <vt:lpstr>Mixed Daily Water Calculator</vt:lpstr>
      <vt:lpstr>'Mixed Daily Water Calculator'!Print_Area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Pan, Joseph</dc:creator>
  <cp:lastModifiedBy>Pineda, Carlos A</cp:lastModifiedBy>
  <cp:lastPrinted>2016-03-07T20:57:28Z</cp:lastPrinted>
  <dcterms:created xsi:type="dcterms:W3CDTF">2013-10-22T15:43:18Z</dcterms:created>
  <dcterms:modified xsi:type="dcterms:W3CDTF">2016-04-14T16:27:18Z</dcterms:modified>
</cp:coreProperties>
</file>